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kaleva.ep\Desktop\Москалева\КОМПЛЕКТОВАНИЕ\Прайсы\"/>
    </mc:Choice>
  </mc:AlternateContent>
  <bookViews>
    <workbookView xWindow="0" yWindow="0" windowWidth="21570" windowHeight="814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V270" i="1" l="1"/>
  <c r="U270" i="1"/>
  <c r="V269" i="1"/>
  <c r="U269" i="1"/>
  <c r="V268" i="1"/>
  <c r="U268" i="1"/>
  <c r="V267" i="1"/>
  <c r="U267" i="1"/>
  <c r="V266" i="1"/>
  <c r="U266" i="1"/>
  <c r="V265" i="1"/>
  <c r="U265" i="1"/>
  <c r="V264" i="1"/>
  <c r="U264" i="1"/>
  <c r="V263" i="1"/>
  <c r="U263" i="1"/>
  <c r="V262" i="1"/>
  <c r="U262" i="1"/>
  <c r="V261" i="1"/>
  <c r="U261" i="1"/>
  <c r="V260" i="1"/>
  <c r="U260" i="1"/>
  <c r="V259" i="1"/>
  <c r="U259" i="1"/>
  <c r="V258" i="1"/>
  <c r="U258" i="1"/>
  <c r="U257" i="1"/>
  <c r="V256" i="1"/>
  <c r="U256" i="1"/>
  <c r="V255" i="1"/>
  <c r="U255" i="1"/>
  <c r="V254" i="1"/>
  <c r="U254" i="1"/>
  <c r="V253" i="1"/>
  <c r="U253" i="1"/>
  <c r="V252" i="1"/>
  <c r="U252" i="1"/>
  <c r="V251" i="1"/>
  <c r="U251" i="1"/>
  <c r="V250" i="1"/>
  <c r="U250" i="1"/>
  <c r="V249" i="1"/>
  <c r="U249" i="1"/>
  <c r="V248" i="1"/>
  <c r="U248" i="1"/>
  <c r="V247" i="1"/>
  <c r="U247" i="1"/>
  <c r="V246" i="1"/>
  <c r="U246" i="1"/>
  <c r="V245" i="1"/>
  <c r="U245" i="1"/>
  <c r="V244" i="1"/>
  <c r="U244" i="1"/>
  <c r="V243" i="1"/>
  <c r="U243" i="1"/>
  <c r="V242" i="1"/>
  <c r="U242" i="1"/>
  <c r="V241" i="1"/>
  <c r="U241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U231" i="1"/>
  <c r="V230" i="1"/>
  <c r="U230" i="1"/>
  <c r="V229" i="1"/>
  <c r="U229" i="1"/>
  <c r="V228" i="1"/>
  <c r="U228" i="1"/>
  <c r="V227" i="1"/>
  <c r="U227" i="1"/>
  <c r="V226" i="1"/>
  <c r="U226" i="1"/>
  <c r="V225" i="1"/>
  <c r="U225" i="1"/>
  <c r="V224" i="1"/>
  <c r="U224" i="1"/>
  <c r="V223" i="1"/>
  <c r="U223" i="1"/>
  <c r="V222" i="1"/>
  <c r="U222" i="1"/>
  <c r="V221" i="1"/>
  <c r="U221" i="1"/>
  <c r="V220" i="1"/>
  <c r="U220" i="1"/>
  <c r="V219" i="1"/>
  <c r="U219" i="1"/>
  <c r="V218" i="1"/>
  <c r="U218" i="1"/>
  <c r="V217" i="1"/>
  <c r="U217" i="1"/>
  <c r="V216" i="1"/>
  <c r="U216" i="1"/>
  <c r="V215" i="1"/>
  <c r="U215" i="1"/>
  <c r="V214" i="1"/>
  <c r="U214" i="1"/>
  <c r="V213" i="1"/>
  <c r="U213" i="1"/>
  <c r="V212" i="1"/>
  <c r="U212" i="1"/>
  <c r="V211" i="1"/>
  <c r="U211" i="1"/>
  <c r="V210" i="1"/>
  <c r="U210" i="1"/>
  <c r="V209" i="1"/>
  <c r="U209" i="1"/>
  <c r="V208" i="1"/>
  <c r="U208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7" i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V146" i="1"/>
  <c r="U146" i="1"/>
  <c r="V145" i="1"/>
  <c r="U145" i="1"/>
  <c r="U144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6" i="1"/>
  <c r="U126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A5" i="1"/>
  <c r="A4" i="1"/>
</calcChain>
</file>

<file path=xl/sharedStrings.xml><?xml version="1.0" encoding="utf-8"?>
<sst xmlns="http://schemas.openxmlformats.org/spreadsheetml/2006/main" count="4176" uniqueCount="1797">
  <si>
    <t>ИНФРА-М Научно-издательский Центр</t>
  </si>
  <si>
    <t>07. Медицина (для учебных заведений и библиотек)
от 12.11.2025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</si>
  <si>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</si>
  <si>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</si>
  <si>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</si>
  <si>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</si>
  <si>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</si>
  <si>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</si>
  <si>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</si>
  <si>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</si>
  <si>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</si>
  <si>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</si>
  <si>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</si>
  <si>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</si>
  <si>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</si>
  <si>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</si>
  <si>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</si>
  <si>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</si>
  <si>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</si>
  <si>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</si>
  <si>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</si>
  <si>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</si>
  <si>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</si>
  <si>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</si>
  <si>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</si>
  <si>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</si>
  <si>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</si>
  <si>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</si>
  <si>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</si>
  <si>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</si>
  <si>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</si>
  <si>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</si>
  <si>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</si>
  <si>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</si>
  <si>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832129.01.01</t>
  </si>
  <si>
    <t>COVID-19: сов. представл..: Уч.пос./Под общ. ред. И.О. Стомы-М.:НИЦ ИНФРА-М, Гомельский ГМУ,2024.-306 с(ВО)(п)</t>
  </si>
  <si>
    <t>COVID-19: СОВРЕМЕННЫЕ ПРЕДСТАВЛЕНИЯ, ВОЗМОЖНОСТИ ЛЕЧЕНИЯ И ПРОФИЛАКТИКИ</t>
  </si>
  <si>
    <t>Карпов И.А., Горбич Ю.Л., Стома И.О.</t>
  </si>
  <si>
    <t>Переплет 7БЦ</t>
  </si>
  <si>
    <t>НИЦ ИНФРА-М</t>
  </si>
  <si>
    <t>978-5-16-019980-1</t>
  </si>
  <si>
    <t>ПРИКЛАДНЫЕ НАУКИ. ТЕХНИКА. МЕДИЦИНА</t>
  </si>
  <si>
    <t>Медицина. Фармакология</t>
  </si>
  <si>
    <t>Учебно-методическое пособие</t>
  </si>
  <si>
    <t>Профессиональное образование</t>
  </si>
  <si>
    <t>20.02.01, 30.05.03, 31.02.01, 31.05.01, 31.05.02, 31.05.03, 32.02.01, 32.04.01, 32.05.01</t>
  </si>
  <si>
    <t>Рекомендовано Учебно-методическим объединением в сфере дополнительного образования взрослых по профилю образования «Здравоохранение»</t>
  </si>
  <si>
    <t>Гомельский государственный медицинский университет</t>
  </si>
  <si>
    <t>0124</t>
  </si>
  <si>
    <t>802225.04.01</t>
  </si>
  <si>
    <t>Dermatology and veneorology: Уч.пос. / Д.В.Прохоров. - М.:НИЦ ИНФРА-М,2025. - 214 с.(ВО)(п)</t>
  </si>
  <si>
    <t>DERMATOLOGY AND VENEOROLOGY</t>
  </si>
  <si>
    <t>Притуло О.А., Прохоров Д.В., Мараках М.Я. и др.</t>
  </si>
  <si>
    <t>Переплет 7БЦ/Без шитья</t>
  </si>
  <si>
    <t>Высшее образование</t>
  </si>
  <si>
    <t>978-5-16-018539-2</t>
  </si>
  <si>
    <t>Учебное пособие</t>
  </si>
  <si>
    <t>31.05.01, 31.08.32</t>
  </si>
  <si>
    <t>Крымский федеральный университет им. В.И. Вернадского</t>
  </si>
  <si>
    <t>0123</t>
  </si>
  <si>
    <t>266100.12.01</t>
  </si>
  <si>
    <t>Абилитация детей с церебр. параличом и его синдромами: Прак. рук. / Ф.А.Юнусов - М:НИЦ ИНФРА-М,2025-143с.(О)</t>
  </si>
  <si>
    <t>АБИЛИТАЦИЯ ДЕТЕЙ С ЦЕРЕБРАЛЬНЫМ ПАРАЛИЧОМ И ЕГО СИНДРОМАМИ</t>
  </si>
  <si>
    <t>Юнусов Ф. А., Ефимов А. П.</t>
  </si>
  <si>
    <t>Обложка. КБС</t>
  </si>
  <si>
    <t>Клиническая практика</t>
  </si>
  <si>
    <t>978-5-16-009582-0</t>
  </si>
  <si>
    <t>Практическое руководство</t>
  </si>
  <si>
    <t>Дополнительное образование / Дополнительное профессиональное образование / ДПО - повышение квалификации</t>
  </si>
  <si>
    <t>31.02.01, 31.05.01, 31.05.02</t>
  </si>
  <si>
    <t>Российская Академия Медико-Социальный Реабилитации</t>
  </si>
  <si>
    <t>0114</t>
  </si>
  <si>
    <t>832387.01.01</t>
  </si>
  <si>
    <t>Актуальные воп. кардиоревматологии дет. возраста: Уч.мет.пос. / А.И.Зарянкина-М.:НИЦ ИНФРА-М, ГомГМУ,2025-327с(п)</t>
  </si>
  <si>
    <t>АКТУАЛЬНЫЕ ВОПРОСЫ КАРДИОРЕВМАТОЛОГИИ ДЕТСКОГО ВОЗРАСТА</t>
  </si>
  <si>
    <t>Зарянкина А.И., Ивкина С.С., Бубневич Т.Е. и др.</t>
  </si>
  <si>
    <t>Высшее образование (ГомГМУ)</t>
  </si>
  <si>
    <t>978-5-16-020101-6</t>
  </si>
  <si>
    <t>Профессиональное образование / ВО - Магистратура</t>
  </si>
  <si>
    <t>32.04.01</t>
  </si>
  <si>
    <t>Рекомендовано учебно-методическим объединением в сфере дополнительного образования взрослых по профилю образования «Здравоохранение»</t>
  </si>
  <si>
    <t>0125</t>
  </si>
  <si>
    <t>838951.01.01</t>
  </si>
  <si>
    <t>Акушерство и гинекология: Уч. пос.: В 2 ч.Ч.1 /  Е.А.Эйныш - М.:НИЦ ИНФРА-М,2025. - 228 с. (ВО)(п)</t>
  </si>
  <si>
    <t>АКУШЕРСТВО И ГИНЕКОЛОГИЯ: В 2 ЧАСТЯХ. ЧАСТЬ 1. АКУШЕРСТВО, Т.1</t>
  </si>
  <si>
    <t>Эйныш Е.А., Захаренкова Т.Н., Недосейкина М.С. и др.</t>
  </si>
  <si>
    <t>978-5-16-020274-7</t>
  </si>
  <si>
    <t>Профессиональное образование / ВО - Специалитет</t>
  </si>
  <si>
    <t>31.05.01, 31.05.02, 32.05.01, 36.05.01</t>
  </si>
  <si>
    <t>Рекомендовано учебно-методическим объединением по высшему медицинскому, фармацевтическому образованию в качестве учебно-методического пособия для студентов учреждений высшего образования, обучающихся по специальностям «Лечебное дело», «Медико-диагностическое дело»</t>
  </si>
  <si>
    <t>Декабрь, 2024</t>
  </si>
  <si>
    <t>082050.11.01</t>
  </si>
  <si>
    <t>Акушерство: Уч.пос. / О.Н.Сластухина - М.:ИЦ РИОР, НИЦ ИНФРА-М,2026. - 271 с.(ВО)(о,к/ф)</t>
  </si>
  <si>
    <t>АКУШЕРСТВО</t>
  </si>
  <si>
    <t>Сластухина О.Н.</t>
  </si>
  <si>
    <t>ИЦ РИОР</t>
  </si>
  <si>
    <t>978-5-369-00153-0</t>
  </si>
  <si>
    <t>31.05.01</t>
  </si>
  <si>
    <t>0107</t>
  </si>
  <si>
    <t>674977.05.01</t>
  </si>
  <si>
    <t>Амигдала в сис.регуляции репродуктив.функций организма..../ И.И.Садртдинова-М.:НИЦ ИНФРА-М,2025-148с(о)</t>
  </si>
  <si>
    <t>АМИГДАЛА В СИСТЕМЕ РЕГУЛЯЦИИ РЕПРОДУКТИВНЫХ ФУНКЦИЙ ОРГАНИЗМА ПРИ АБСАНСНОЙ ЭПИЛЕПСИИ</t>
  </si>
  <si>
    <t>Садртдинова И.И., Хисматуллина З.Р.</t>
  </si>
  <si>
    <t>Научная мысль</t>
  </si>
  <si>
    <t>978-5-16-013527-4</t>
  </si>
  <si>
    <t>Монография</t>
  </si>
  <si>
    <t>Дополнительное образование / Дополнительное профессиональное образование</t>
  </si>
  <si>
    <t>0118</t>
  </si>
  <si>
    <t>700540.02.01</t>
  </si>
  <si>
    <t>Анализ плоидометрических и морфометрич. параметров...: Моногр./ А.Ю.Долгатов -М.:ИНФРА-М, 2023-147с(О)</t>
  </si>
  <si>
    <t>АНАЛИЗ ПЛОИДОМЕТРИЧЕСКИХ И МОРФОМЕТРИЧЕСКИХ ПАРАМЕТРОВ ПОЧЕЧНО-КЛЕТОЧНОГО РАКА: КЛИНИКО-МОРФОЛОГИЧЕСКИЕ СОПОСТАВЛЕНИЯ</t>
  </si>
  <si>
    <t>Долгатов А.Ю., Климачев В.В., Черданцева Т.М. и др.</t>
  </si>
  <si>
    <t>Научная мысль - АГМУ (65 лет)</t>
  </si>
  <si>
    <t>978-5-16-014804-5</t>
  </si>
  <si>
    <t>Алтайский государственный медицинский университет</t>
  </si>
  <si>
    <t>0119</t>
  </si>
  <si>
    <t>229100.09.01</t>
  </si>
  <si>
    <t>Аналитическая химия. Практикум: Уч.пос. / А.И.Жебентяев и др. - М.:НИЦ ИНФРА-М,2025. - 428 с.(ВО)(п)</t>
  </si>
  <si>
    <t>АНАЛИТИЧЕСКАЯ ХИМИЯ. ПРАКТИКУМ</t>
  </si>
  <si>
    <t>Жебентяев А.И., Жерносек А.К., Талуть И.Е.</t>
  </si>
  <si>
    <t>978-5-16-009043-6</t>
  </si>
  <si>
    <t>Профессиональное образование / ВО - Бакалавриат</t>
  </si>
  <si>
    <t>04.03.01, 18.02.07, 31.05.01, 31.05.02, 31.05.03, 33.05.01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</si>
  <si>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«Фармация», «Химия (фармацевтическая деятельность)»</t>
  </si>
  <si>
    <t>Витебский государственный медицинский университет</t>
  </si>
  <si>
    <t>0113</t>
  </si>
  <si>
    <t>475900.08.01</t>
  </si>
  <si>
    <t>Анатомия и возрастная физиология: Уч. / Г.Н.Тюрикова - М.:НИЦ ИНФРА-М,2026 - 178 с.(ВО.)(О)</t>
  </si>
  <si>
    <t>АНАТОМИЯ И ВОЗРАСТНАЯ ФИЗИОЛОГИЯ</t>
  </si>
  <si>
    <t>ТюриковаГ.Н., ТюриковаЮ.Б.</t>
  </si>
  <si>
    <t>978-5-16-019665-7</t>
  </si>
  <si>
    <t>Учебник</t>
  </si>
  <si>
    <t>44.03.01, 44.03.02, 44.03.05</t>
  </si>
  <si>
    <t>Рекомендовано в качестве учебника для студентов высших учебных заведений, обучающихся по направлениям подготовки 44.03.01 «Педагогическое образование», 44.03.02 «Психолого-педагогическое образование» (квалификация (степень) «бакалавр»)</t>
  </si>
  <si>
    <t>Орловский государственный университет им. И.С. Тургенева</t>
  </si>
  <si>
    <t>0116</t>
  </si>
  <si>
    <t>682820.07.01</t>
  </si>
  <si>
    <t>Анатомия и возрастная физиология: Уч. / Г.Н.Тюрикова - М.:НИЦ ИНФРА-М,2026 - 178 с.(СПО)(П)</t>
  </si>
  <si>
    <t>Тюрикова Г.Н., Тюрикова Ю.Б.</t>
  </si>
  <si>
    <t>Среднее профессиональное образование</t>
  </si>
  <si>
    <t>978-5-16-013882-4</t>
  </si>
  <si>
    <t>Профессиональное образование / Среднее профессиональное образование</t>
  </si>
  <si>
    <t>12.02.08, 29.01.04, 31.02.01, 31.02.02, 31.02.03, 31.02.04, 31.02.05, 31.02.06, 32.02.01, 33.02.01, 34.02.01, 34.02.02, 42.02.12, 43.02.02, 43.02.04, 43.02.17, 44.02.01, 44.02.02, 44.02.03, 44.02.04, 44.02.05, 44.02.06, 49.02.01, 49.02.02, 53.02.01, 54.02.01, 54.02.02, 54.02.03, 54.02.06, 54.02.07,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</si>
  <si>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</si>
  <si>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32</t>
  </si>
  <si>
    <t>252400.15.01</t>
  </si>
  <si>
    <t>Анатомия и физиология гомеостаза: Уч.пос. /Ю.Н.Самко - М.:НИЦ ИНФРА-М,2025 - 94 с(Клиническая практ.)(о)</t>
  </si>
  <si>
    <t>АНАТОМИЯ И ФИЗИОЛОГИЯ ГОМЕОСТАЗА</t>
  </si>
  <si>
    <t>Самко Ю.Н.</t>
  </si>
  <si>
    <t>978-5-16-009383-3</t>
  </si>
  <si>
    <t>31.05.01, 31.05.02, 31.05.03, 34.03.01, 44.03.05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</si>
  <si>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дело», 31.05.02 «Педиатрия», 31.05.03 «Стоматология» (квалификация «врач (врач-педиатр; врач-стоматолог) общей практики»)</t>
  </si>
  <si>
    <t>Российский национальный исследовательский медицинский университет им. Н.И. Пирогова</t>
  </si>
  <si>
    <t>785125.03.01</t>
  </si>
  <si>
    <t>Анатомия и физиология человека: Уч. / А.И.Тюкавин - М.:НИЦ ИНФРА-М,2026 - 424 с.(СПО)(п)</t>
  </si>
  <si>
    <t>АНАТОМИЯ И ФИЗИОЛОГИЯ ЧЕЛОВЕКА</t>
  </si>
  <si>
    <t>Тюкавин А.И., Гайворонский И.В., Майстренко В.А. и др.</t>
  </si>
  <si>
    <t>978-5-16-018329-9</t>
  </si>
  <si>
    <t>12.02.08, 29.01.04, 31.02.01, 31.02.02, 31.02.03, 31.02.04, 31.02.05, 31.02.06, 32.02.01, 33.02.01, 34.02.01, 34.02.02, 42.02.12, 43.02.04, 43.02.17, 44.02.01, 44.02.02, 44.02.03, 44.02.04, 44.02.05, 44.02.06, 49.02.01, 49.02.02, 53.02.01, 54.02.03, 54.02.06, 49.02.03</t>
  </si>
  <si>
    <t>Первый Санкт-Петербургский государственный медицинский университет им. академика И.П.Павлова</t>
  </si>
  <si>
    <t>СПО-2023, Победитель, I место</t>
  </si>
  <si>
    <t>220400.14.01</t>
  </si>
  <si>
    <t>Анатомия человека: Уч.пос. / И.М.Прищепа - ,НИЦ ИНФРА-М,2026 - 459 с.(ВО.)(п)</t>
  </si>
  <si>
    <t>АНАТОМИЯ ЧЕЛОВЕКА</t>
  </si>
  <si>
    <t>Прищепа И. М.</t>
  </si>
  <si>
    <t>978-5-16-006954-8</t>
  </si>
  <si>
    <t>34.03.01, 44.03.05, 49.03.01, 49.03.02, 52.03.01</t>
  </si>
  <si>
    <t>Допущено Министерством образования Республики Беларусь в качестве учебного пособия для студентов учреждений высшего образования по биологическим специальностям</t>
  </si>
  <si>
    <t>Витебский государственный университет им. П.М. Машерова</t>
  </si>
  <si>
    <t>414500.12.01</t>
  </si>
  <si>
    <t>Артериальная гипертензия у детей и подростков...: Моногр. / В.А.Кельцев - М.:НИЦ ИНФРА-М,2025 - 157 с.(О)</t>
  </si>
  <si>
    <t>АРТЕРИАЛЬНАЯ ГИПЕРТЕНЗИЯ У ДЕТЕЙ И ПОДРОСТКОВ (КЛИНИКА, ДИАГНОСТИКА, ЛЕЧЕНИЕ)</t>
  </si>
  <si>
    <t>Кельцев В. А.</t>
  </si>
  <si>
    <t>978-5-16-006219-8</t>
  </si>
  <si>
    <t>30.06.01, 31.05.02, 31.06.01, 31.07.01, 31.08.13, 31.08.19, 31.08.36, 31.08.49, 31.08.63</t>
  </si>
  <si>
    <t>Самарский государственный медицинский университет</t>
  </si>
  <si>
    <t>0112</t>
  </si>
  <si>
    <t>777627.04.01</t>
  </si>
  <si>
    <t>Атеросклероз: иммуногенетические...: Моногр. / Е.А.Чагина - М.:НИЦ ИНФРА-М,2025. - 171 с.(Науч.мысль)(О)</t>
  </si>
  <si>
    <t>АТЕРОСКЛЕРОЗ: ИММУНОГЕНЕТИЧЕСКИЕ И МЕТАБОЛИЧЕСКИЕ АСПЕКТЫ ПАТОГЕНЕЗА</t>
  </si>
  <si>
    <t>Турмова Е.П., Маркелова Е.В., Чагина Е.А. и др.</t>
  </si>
  <si>
    <t>978-5-16-017710-6</t>
  </si>
  <si>
    <t>31.05.01, 31.06.01</t>
  </si>
  <si>
    <t>Тихоокеанский государственный медицинский университет</t>
  </si>
  <si>
    <t>0122</t>
  </si>
  <si>
    <t>761038.02.01</t>
  </si>
  <si>
    <t>Аускультация сердца: Уч.пос. / В.Н.Ослопов и др. - М.:НИЦ ИНФРА-М,2025. - 303 с..-(ВО)(п)</t>
  </si>
  <si>
    <t>АУСКУЛЬТАЦИЯ СЕРДЦА</t>
  </si>
  <si>
    <t>Ослопов В.Н., Мишанина Ю.С., Ослопова Ю.В. и др.</t>
  </si>
  <si>
    <t>978-5-16-020987-6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</si>
  <si>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по программам специалитета 31.05.01 «Лечебное дело», 31.05.02 «Педиатрия», 32.05.01 «Медико-профилактическое дело» (протокол № 072 от 21 сентября 2023 г.)</t>
  </si>
  <si>
    <t>Казанский государственный медицинский университет</t>
  </si>
  <si>
    <t>АКАДЕМУС-2021, Победитель, I место</t>
  </si>
  <si>
    <t>861606.01.01</t>
  </si>
  <si>
    <t>Базовые и клинич. аспекты молочной железы: Уч.мет.пос. / Н.Ю.Давид - М.:НИЦ ИНФРА-М, ГомГМУ,2026. - 115 с.(ВО)(о)</t>
  </si>
  <si>
    <t>БАЗОВЫЕ И КЛИНИЧЕСКИЕ АСПЕКТЫ МОЛОЧНОЙ ЖЕЛЕЗЫ</t>
  </si>
  <si>
    <t>Давид Н.Ю., Захаренкова Т.Н., Призенцов А.А. и др.</t>
  </si>
  <si>
    <t>978-5-16-021301-9</t>
  </si>
  <si>
    <t>31.05.01, 31.05.02, 32.05.01</t>
  </si>
  <si>
    <t>Сентябрь, 2025</t>
  </si>
  <si>
    <t>0126</t>
  </si>
  <si>
    <t>770894.04.01</t>
  </si>
  <si>
    <t>Бедренная грыжа: Монография / В.И.Белоконев - М.:НИЦ ИНФРА-М,2024 - 152 с.(Науч.мысль)(О)</t>
  </si>
  <si>
    <t>БЕДРЕННАЯ ГРЫЖА</t>
  </si>
  <si>
    <t>Белоконев В.И., Пушкин С.Ю., Бурнаева Н.С. и др.</t>
  </si>
  <si>
    <t>978-5-16-017466-2</t>
  </si>
  <si>
    <t>31.05.01, 31.05.02, 31.08.67, 32.05.01</t>
  </si>
  <si>
    <t>671271.03.01</t>
  </si>
  <si>
    <t>Биологические и социальные эффекты адаптации к ..: Моногр. / О.Н.Малах - М.:НИЦ ИНФРА-М,2022-200с(О)</t>
  </si>
  <si>
    <t>БИОЛОГИЧЕСКИЕ И СОЦИАЛЬНЫЕ ЭФФЕКТЫ АДАПТАЦИИ К ГИПОБАРИЧЕСКОЙ ГИПОКСИИ</t>
  </si>
  <si>
    <t>Малах О.Н., Крестьянинова Т.Ю.</t>
  </si>
  <si>
    <t>978-5-16-013756-8</t>
  </si>
  <si>
    <t>274400.11.01</t>
  </si>
  <si>
    <t>Биомедицинская этика: Уч. / И.А.Шамов - 2 изд. - М.:НИЦ ИНФРА-М,2025 - 288 с.(ВО)(п)</t>
  </si>
  <si>
    <t>БИОМЕДИЦИНСКАЯ ЭТИКА, ИЗД.2</t>
  </si>
  <si>
    <t>Шамов И.А.</t>
  </si>
  <si>
    <t>978-5-16-018686-3</t>
  </si>
  <si>
    <t>30.05.01, 30.05.02, 30.05.03, 30.06.01, 30.07.01, 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31.08.27,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</t>
  </si>
  <si>
    <t>Рекомендовано Учебно-методическим объединением вузов России по медицинскому и фармацевтическому образованию в качестве учебника для студентов медицинских вузов</t>
  </si>
  <si>
    <t>Дагестанский  государственный медицинский университет</t>
  </si>
  <si>
    <t>0215</t>
  </si>
  <si>
    <t>832226.01.01</t>
  </si>
  <si>
    <t>Биомедицинская этика: Уч.мет.пос./ Т.М.Шаршакова - М.:НИЦ ИНФРА-М, ГомГМУ,2025. - 319 с.(ВО (ГомГМУ))(п)</t>
  </si>
  <si>
    <t>БИОМЕДИЦИНСКАЯ ЭТИКА</t>
  </si>
  <si>
    <t>Шаршакова Т.М., Соболева Л.Г.</t>
  </si>
  <si>
    <t>978-5-16-019985-6</t>
  </si>
  <si>
    <t>31.05.01, 32.05.01, 37.05.01</t>
  </si>
  <si>
    <t>Рекомендовано Учебно-методическим объединением по высшему медицинскому, фармацевтическому образованию в качестве учебно-методического пособия для студентов учреждений высшего образования, обучающихся по специальностям «Лечебное дело», «Медико-диагностическое дело»</t>
  </si>
  <si>
    <t>692030.06.01</t>
  </si>
  <si>
    <t>Биомедицинская этика: Уч.пос. / А.Л.Панищев - М.:НИЦ ИНФРА-М,2024 - 172 с.-(СПО)(П)</t>
  </si>
  <si>
    <t>Панищев А.Л.</t>
  </si>
  <si>
    <t>978-5-16-014596-9</t>
  </si>
  <si>
    <t>31.02.01, 31.02.02, 31.02.03, 31.02.04, 31.02.05, 31.02.06, 33.02.01, 34.01.01, 34.02.01, 34.02.02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</si>
  <si>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</si>
  <si>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Юго-Западный государственный университет</t>
  </si>
  <si>
    <t>692030.07.01</t>
  </si>
  <si>
    <t>Биомедицинская этика: Уч.пос. / А.Л.Панищев, - 2 изд. - М.:НИЦ ИНФРА-М,2025. - 193 с.(СПО)(п)</t>
  </si>
  <si>
    <t>978-5-16-020109-2</t>
  </si>
  <si>
    <t>Февраль, 2025</t>
  </si>
  <si>
    <t>0225</t>
  </si>
  <si>
    <t>164050.14.01</t>
  </si>
  <si>
    <t>Валеология: словарь терминов и понятий / Э.М.Прохорова - М.:НИЦ ИНФРА-М,2026 - 110 с.(о)</t>
  </si>
  <si>
    <t>ВАЛЕОЛОГИЯ: СЛОВАРЬ ТЕРМИНОВ И ПОНЯТИЙ</t>
  </si>
  <si>
    <t>Прохорова Э. М.</t>
  </si>
  <si>
    <t>Библиотека малых словарей "Инфра-М"</t>
  </si>
  <si>
    <t>978-5-16-013211-2</t>
  </si>
  <si>
    <t>Словарь</t>
  </si>
  <si>
    <t>39.02.01, 39.03.02, 39.04.02</t>
  </si>
  <si>
    <t>Российский государственный университет туризма и сервиса, ф-л Институт туризма и гостеприимства</t>
  </si>
  <si>
    <t>105800.17.01</t>
  </si>
  <si>
    <t>Валеология: Уч.пос. / Э.М.Прохорова, - 2 изд. - М.:НИЦ ИНФРА-М,2026. - 253 с.(ВО)(П)</t>
  </si>
  <si>
    <t>ВАЛЕОЛОГИЯ, ИЗД.2</t>
  </si>
  <si>
    <t>978-5-16-019625-1</t>
  </si>
  <si>
    <t>43.03.01, 43.03.03, 43.04.01, 43.04.03</t>
  </si>
  <si>
    <t>Рекомендовано в качестве учебного пособия для студентов высших учебных заведений, обучающихся по направлению подготовки 43.03.01 «Сервис» (квалификация (степень) «бакалавр»)</t>
  </si>
  <si>
    <t>0216</t>
  </si>
  <si>
    <t>730437.04.01</t>
  </si>
  <si>
    <t>Взаимодействие антигенов с антителами и с...: Моногр. / Н.Г.Титова - М.:НИЦ ИНФРА-М,2025  - 186 с.(П)</t>
  </si>
  <si>
    <t>ВЗАИМОДЕЙСТВИЕ АНТИГЕНОВ С АНТИТЕЛАМИ И С ИММУНОКОМПЕТЕНТНЫМИ КЛЕТКАМИ (КОЛИЧЕСТВЕННЫЕ АСПЕКТЫ)</t>
  </si>
  <si>
    <t>Титова Н.Г.</t>
  </si>
  <si>
    <t>978-5-16-015943-0</t>
  </si>
  <si>
    <t>30.05.01, 31.05.01, 31.05.02, 31.05.03, 32.05.01</t>
  </si>
  <si>
    <t>Научно-исследовательский институт вакцин и сывороток им. И.И. Мечникова</t>
  </si>
  <si>
    <t>468200.07.01</t>
  </si>
  <si>
    <t>Взаимодействие физических полей..: Уч.пос. / Под ред. Нефедова Е.И.-М.:КУРС, НИЦ ИНФРА-М,2023-344с.</t>
  </si>
  <si>
    <t>ВЗАИМОДЕЙСТВИЕ ФИЗИЧЕСКИХ ПОЛЕЙ С БИОЛОГИЧЕСКИМИ ОБЪЕКТАМИ (С ОСНОВАМИ ПРОЕКТИРОВАНИЯ ВЫСОКОЧАСТОТНОЙ МЕДИКО-БИОЛОГИЧЕСКОЙ АППАРАТУРЫ)</t>
  </si>
  <si>
    <t>Нефедов Е.И., Субботина Т.И., Яшин А.А. и др.</t>
  </si>
  <si>
    <t>КУРС</t>
  </si>
  <si>
    <t>978-5-906818-19-5</t>
  </si>
  <si>
    <t>03.03.03, 11.03.01, 12.03.04, 12.04.02</t>
  </si>
  <si>
    <t>Рекомендовано учебно-методическим объединением вузов Российской Федерации по образованию в области радиотехники, электроники, биомедицинской техники и автоматизации в качестве учебного пособия для студентов высших учебных заведений, обучающихся по направлению подготовки 12.03.04 и 12.04.04 «Биотехнические системы и технологии»</t>
  </si>
  <si>
    <t>Институт радиотехники и электроники им. В.А. Котельникова Российской академии наук</t>
  </si>
  <si>
    <t>0115</t>
  </si>
  <si>
    <t>405000.07.01</t>
  </si>
  <si>
    <t>Вибрационная болезнь: Моногр. / С.А.Бабанов - М.:Вуз. уч., НИЦ ИНФРА-М,2025 - 160 с.(Науч. книга)(О)</t>
  </si>
  <si>
    <t>ВИБРАЦИОННАЯ БОЛЕЗНЬ</t>
  </si>
  <si>
    <t>Бабанов С.А., Азовскова Т.А., Вакурова Н.В. и др.</t>
  </si>
  <si>
    <t>Вузовский учебник</t>
  </si>
  <si>
    <t>Научная книга</t>
  </si>
  <si>
    <t>978-5-9558-0498-9</t>
  </si>
  <si>
    <t>631350.09.01</t>
  </si>
  <si>
    <t>Внутренние болезни: заболев. желудочно-кишеч. тракта: Уч.пос. / И.А.Шамов - М.:НИЦ ИНФРА-М,2025 - 157 с.(ВО)(О)</t>
  </si>
  <si>
    <t>ВНУТРЕННИЕ БОЛЕЗНИ: ЗАБОЛЕВАНИЯ ЖЕЛУДОЧНО-КИШЕЧНОГО ТРАКТА</t>
  </si>
  <si>
    <t>Высшее образование: Специалитет</t>
  </si>
  <si>
    <t>978-5-16-011914-4</t>
  </si>
  <si>
    <t>31.05.01, 31.05.02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</si>
  <si>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(степень) «врач общей практики»), 31.05.02 «Педиатрия» (квалификация (степень) «врач-педиатр общей практики»)</t>
  </si>
  <si>
    <t>832222.01.01</t>
  </si>
  <si>
    <t>Внутренние болезни: Уч.мет.пос. / Э.Н.Платошкин. - М.:НИЦ ИНФРА-М, ГомГМУ,2025. - 474 с.(ВО (ГомГМУ))(п)</t>
  </si>
  <si>
    <t>ВНУТРЕННИЕ БОЛЕЗНИ</t>
  </si>
  <si>
    <t>Платошкин Э.Н., Шут С.А., Николаева Н.В. и др.</t>
  </si>
  <si>
    <t>978-5-16-019983-2</t>
  </si>
  <si>
    <t>30.05.01, 30.05.02, 30.05.03, 31.05.01, 31.05.02, 31.05.03, 32.05.01, 36.03.01</t>
  </si>
  <si>
    <t>417650.04.01</t>
  </si>
  <si>
    <t>Внутрисосудистое свертывание крови...: Моногр./А.Ш.Бышевский -М.:НИЦ ИНФРА-М,2017-68с(Науч.мысль)(о)</t>
  </si>
  <si>
    <t>ВНУТРИСОСУДИСТОЕ СВЕРТЫВАНИЕ КРОВИ, КОАГУЛОАКТИВНОСТЬ ТРОМБОЦИТОВ И ТОЛЕРАНТНОСТЬ К ТРОМБИНУ</t>
  </si>
  <si>
    <t>Бышевский А. Ш., Карпова И. А., Полякова В. А.</t>
  </si>
  <si>
    <t>978-5-16-006510-6</t>
  </si>
  <si>
    <t>Тюменский государственный медицинский университет</t>
  </si>
  <si>
    <t>445850.13.01</t>
  </si>
  <si>
    <t>Возрастная анатомия и физиология: Уч пос. / Н.Ф. Лысова - М.: НИЦ ИНФРА-М, 2025. - 352 с. (ВО) (п)</t>
  </si>
  <si>
    <t>ВОЗРАСТНАЯ АНАТОМИЯ И ФИЗИОЛОГИЯ</t>
  </si>
  <si>
    <t>Лысова Н.Ф., Айзман Р.И.</t>
  </si>
  <si>
    <t>978-5-16-008972-0</t>
  </si>
  <si>
    <t>44.03.01, 44.03.02, 44.03.03, 44.03.04, 44.03.05, 44.05.01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</si>
  <si>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44.03.01 «Педагогическое образование» (квалификация (степень) «бакалавр»)</t>
  </si>
  <si>
    <t>Новосибирский государственный педагогический университет</t>
  </si>
  <si>
    <t>682847.07.01</t>
  </si>
  <si>
    <t>Возрастная анатомия и физиология: Уч.пос. / Н.Ф.Лысова - М.:НИЦ ИНФРА-М,2025. - 352 с.-(СПО)(П)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</si>
  <si>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</si>
  <si>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</si>
  <si>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431700.10.01</t>
  </si>
  <si>
    <t>Возрастная физиология и психофизиология: Уч. пос. / Р.И. Айзман - М.: ИНФРА-М, 2025. - 352 с.(ВО)(п)</t>
  </si>
  <si>
    <t>ВОЗРАСТНАЯ ФИЗИОЛОГИЯ И ПСИХОФИЗИОЛОГИЯ</t>
  </si>
  <si>
    <t>Айзман Р.И., Лысова Н.Ф.</t>
  </si>
  <si>
    <t>978-5-16-006423-9</t>
  </si>
  <si>
    <t>04.03.02, 06.03.01, 34.03.01, 44.03.04, 44.03.05, 49.03.01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</si>
  <si>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44.03.01 (050100.62) «Педагогическое образование»</t>
  </si>
  <si>
    <t>682849.08.01</t>
  </si>
  <si>
    <t>Возрастная физиология и психофизиология: Уч.пос. / Р.И.Айзман - М.:НИЦ ИНФРА-М,2026 - 352 с.(СПО)(П)</t>
  </si>
  <si>
    <t>978-5-16-013904-3</t>
  </si>
  <si>
    <t>12.02.08, 31.02.01, 31.02.02, 31.02.03, 31.02.04, 31.02.06, 32.02.01, 33.02.01, 34.02.01, 42.02.12, 43.02.04, 43.02.17, 44.02.01, 44.02.02, 44.02.03, 44.02.04, 44.02.05, 44.02.06, 49.02.01, 49.02.02, 53.02.01, 54.02.06, 49.02.03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</si>
  <si>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</si>
  <si>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713886.03.01</t>
  </si>
  <si>
    <t>Восстановительная  терапия церебральных нарушений.../ И.В. Кунцевская — Москва : ИНФРА-М, 2023.-160с.(О)</t>
  </si>
  <si>
    <t>ВОССТАНОВИТЕЛЬНАЯ  ТЕРАПИЯ ЦЕРЕБРАЛЬНЫХ НАРУШЕНИЙ У БОЛЬНЫХ ХРОНИЧЕСКОЙ ОБСТРУКТИВНОЙ БОЛЕЗНЬЮ ЛЕГКИХ НА ЭТАПЕ САНАТОРНО-КУРОРТНОЙ РЕАБИЛИТАЦИИ</t>
  </si>
  <si>
    <t>Кунцевская И.В., Кушнир Г.М., Бобрик Ю.В.</t>
  </si>
  <si>
    <t>978-5-16-015678-1</t>
  </si>
  <si>
    <t>31.05.01, 31.08.49</t>
  </si>
  <si>
    <t>Крымский федеральный университет им. В.И. Вернадского, структурное подразделение Медицинская академия имени С.И. Георгиевского</t>
  </si>
  <si>
    <t>0120</t>
  </si>
  <si>
    <t>АКАДЕМУС, Победитель</t>
  </si>
  <si>
    <t>712717.05.01</t>
  </si>
  <si>
    <t>Геронтостоматология и забол. слиз. оболоч. полости рта: Уч.пос. / С.И.Токмакова.-М.:НИЦ ИНФРА-М,2024.-126с(О)</t>
  </si>
  <si>
    <t>ГЕРОНТОСТОМАТОЛОГИЯ И ЗАБОЛЕВАНИЯ СЛИЗИСТОЙ ОБОЛОЧКИ ПОЛОСТИ РТА</t>
  </si>
  <si>
    <t>Токмакова С.И., Бондаренко О.В., Воблова Т.В. и др.</t>
  </si>
  <si>
    <t>Высшее образование: Специалитет (АГМУ)</t>
  </si>
  <si>
    <t>978-5-16-015441-1</t>
  </si>
  <si>
    <t>31.05.03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</si>
  <si>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31.05.03 «Стоматология» (квалификация «врач-стоматолог») (протокол № 12 от 24.06.2019)</t>
  </si>
  <si>
    <t>838952.01.01</t>
  </si>
  <si>
    <t>Гинекология. Планир.  семьи...: Уч.мет.пос. на англ. яз. / Е.А.Эйныш. - М.:НИЦ ИНФРА-М, ГомГМУ,2025. - 240 с.(п)</t>
  </si>
  <si>
    <t>ГИНЕКОЛОГИЯ. ПЛАНИРОВАНИЕ СЕМЬИ И РЕПРОДУКТИВНЫЕ ТЕХНОЛОГИИ</t>
  </si>
  <si>
    <t>Эйныш Е.А., Лызикова Ю.А., Корбут И. и др.</t>
  </si>
  <si>
    <t>978-5-16-020273-0</t>
  </si>
  <si>
    <t>Январь, 2025</t>
  </si>
  <si>
    <t>362400.06.01</t>
  </si>
  <si>
    <t>Гиперсомнии: клиника, диагностика, лечение: Уч.пос. / А.В.Захаров. - М.:Форум, НИЦ ИНФРА-М,2026. - 56 с.(о)</t>
  </si>
  <si>
    <t>ГИПЕРСОМНИИ: КЛИНИКА, ДИАГНОСТИКА, ЛЕЧЕНИЕ</t>
  </si>
  <si>
    <t>Захаров А.В., Хивинцева Е.В., Повереннова И.Е.</t>
  </si>
  <si>
    <t>Форум</t>
  </si>
  <si>
    <t>978-5-00091-075-7</t>
  </si>
  <si>
    <t>31.08.05</t>
  </si>
  <si>
    <t>Академия права и управления Федеральной службы исполнения наказаний</t>
  </si>
  <si>
    <t>416150.06.01</t>
  </si>
  <si>
    <t>Гипертрофическая кардиомиопатия: патофизиология..: Уч. пос./Ю.Н.Беленков.-М.:Альфа-М, НИЦ ИНФРА-М,2023.-256 с.(П)</t>
  </si>
  <si>
    <t>ГИПЕРТРОФИЧЕСКАЯ КАРДИОМИОПАТИЯ: ПАТОФИЗИОЛОГИЯ, КЛИНИКА И ДИАГНОСТИКА</t>
  </si>
  <si>
    <t>Беленков Ю. Н., Привалова Е. В., Каплунова В. Ю.</t>
  </si>
  <si>
    <t>Альфа-М</t>
  </si>
  <si>
    <t>978-5-98281-334-3</t>
  </si>
  <si>
    <t>Рекомендовано Российской медицинской академией последипломного образования в качестве учебного пособия для студентов медицинских вузов, обучающихся по специальности 060101 «Лечебное дело»</t>
  </si>
  <si>
    <t>Первый Московский государственный медицинский университет им. И.М. Сеченова</t>
  </si>
  <si>
    <t>418050.04.01</t>
  </si>
  <si>
    <t>Гипертрофическая кардиомиопатия: факт. риск..:Уч.пос./ В.Ю.Каплунова-М:Альфа-М:НИЦ ИНФРА-М,2020-160с (п)</t>
  </si>
  <si>
    <t>ГИПЕРТРОФИЧЕСКАЯ КАРДИОМИОПАТИЯ: ФАКТОРЫ РИСКА, ПРОГНОЗ И ВАРИАНТЫ ЛЕЧЕНИЯ</t>
  </si>
  <si>
    <t>Каплунова В. Ю., Привалова Е. В., Беленков Ю. Н.</t>
  </si>
  <si>
    <t>978-5-98281-335-0</t>
  </si>
  <si>
    <t>31.05.01, 32.04.01</t>
  </si>
  <si>
    <t>205800.13.01</t>
  </si>
  <si>
    <t>Гистология, цитология и эмбриология: Уч.пос. /  Студеникина Т.М. - М.:НИЦ ИНФРА-М,2024 - 574 с.-(ВО)(п)</t>
  </si>
  <si>
    <t>ГИСТОЛОГИЯ, ЦИТОЛОГИЯ И ЭМБРИОЛОГИЯ</t>
  </si>
  <si>
    <t>Студеникина Т. М., Вылегжанина Т. А., Островская Т. И., Стельмах И. А., Студеникина Т. М.</t>
  </si>
  <si>
    <t>978-5-16-019657-2</t>
  </si>
  <si>
    <t>06.03.01, 06.04.01, 30.05.01, 30.05.02, 30.05.03, 31.05.01, 31.05.02, 44.03.01, 44.03.05</t>
  </si>
  <si>
    <t>Допущено Министерством образования Республики Беларусь в качестве учебного пособия для студентов учреждений высшего образования по медицинским специальностям</t>
  </si>
  <si>
    <t>Белорусский государственный медицинский университет</t>
  </si>
  <si>
    <t>851955.01.01</t>
  </si>
  <si>
    <t>Гистология, цитология, эмбриология: Прак. / И.Л.Кравцова - М.:НИЦ ИНФРА-М, ГомГМУ,2025. - 234 с.(ВО)(п)</t>
  </si>
  <si>
    <t>ГИСТОЛОГИЯ, ЦИТОЛОГИЯ, ЭМБРИОЛОГИЯ</t>
  </si>
  <si>
    <t>Кравцова И.Л., Солодова Е.К., Мальцева Н.Г. и др.</t>
  </si>
  <si>
    <t>978-5-16-020806-0</t>
  </si>
  <si>
    <t>Практикум</t>
  </si>
  <si>
    <t>30.05.02, 30.05.03, 31.05.01, 31.05.02, 31.05.03, 32.05.01</t>
  </si>
  <si>
    <t>Март, 2025</t>
  </si>
  <si>
    <t>822973.02.01</t>
  </si>
  <si>
    <t>Гладкость и геометрия движения в нейрореабилитации ... / О.С.Васильев - М.:НИЦ ИНФРА-М,2025. - 209 с.: цв.ил.(п)</t>
  </si>
  <si>
    <t>ГЛАДКОСТЬ И ГЕОМЕТРИЯ ДВИЖЕНИЯ В НЕЙРОРЕАБИЛИТАЦИИ (ФОРМАЛИЗАЦИЯ ОЦЕНКИ КАЧЕСТВА ЖИЗНИ)</t>
  </si>
  <si>
    <t>Васильев О.С., Ачкасов Е.Е., Рохлин А.В.</t>
  </si>
  <si>
    <t>978-5-16-019788-3</t>
  </si>
  <si>
    <t>30.05.02, 31.05.01, 32.05.01, 49.03.01</t>
  </si>
  <si>
    <t>Центральная государственная медицинская академия</t>
  </si>
  <si>
    <t>377600.08.01</t>
  </si>
  <si>
    <t>Грыжи живота: Совр.аспекты этиологии, патог..: Уч.пос./В.И.Белоконев-Форум,НИЦ ИНФРА-М,2024-184с(ВО)</t>
  </si>
  <si>
    <t>ГРЫЖИ ЖИВОТА: СОВРЕМЕННЫЕ АСПЕКТЫ ЭТИОЛОГИИ, ПАТОГЕНЕЗА, ДИАГНОСТИКИ И ЛЕЧЕНИЯ</t>
  </si>
  <si>
    <t>Белоконев В.И., Пушкин С.Ю., Ковалева З.В. и др.</t>
  </si>
  <si>
    <t>978-5-00091-097-9</t>
  </si>
  <si>
    <t>31.05.01, 31.08.67</t>
  </si>
  <si>
    <t>Рекомендовано в качестве учебного пособия для студентов медицинских вузов и системы последипломного профессионального образования врачей по специальности 31.08.67 «Хирургия»</t>
  </si>
  <si>
    <t>729932.05.01</t>
  </si>
  <si>
    <t>Грязелечение в Республике Крым: Моногр. / Т.Ф.Голубова - М.:НИЦ ИНФРА-М,2026. - 315 с.(Науч.мысль)(О)</t>
  </si>
  <si>
    <t>ГРЯЗЕЛЕЧЕНИЕ В РЕСПУБЛИКЕ КРЫМ</t>
  </si>
  <si>
    <t>Голубова Т.Ф., Любчик В.Н.</t>
  </si>
  <si>
    <t>978-5-16-016025-2</t>
  </si>
  <si>
    <t>31.05.01, 31.05.02, 31.06.01</t>
  </si>
  <si>
    <t>Национальный медицинский исследовательский центр реабилитации и курортологии</t>
  </si>
  <si>
    <t>0121</t>
  </si>
  <si>
    <t>420400.12.01</t>
  </si>
  <si>
    <t>Депрессии и резистентность: Практ. рук. / Ю.В.Быков - М.:ИЦ РИОР, НИЦ ИНФРА-М,2026 - 370 с.(О)</t>
  </si>
  <si>
    <t>ДЕПРЕССИИ И РЕЗИСТЕНТНОСТЬ</t>
  </si>
  <si>
    <t>Быков Ю.В., Беккер Р.А., Резников М.К.</t>
  </si>
  <si>
    <t>Наука и практика</t>
  </si>
  <si>
    <t>978-5-369-01096-9</t>
  </si>
  <si>
    <t>31.05.01, 32.05.01, 37.03.01, 37.04.01, 37.05.01</t>
  </si>
  <si>
    <t>Ставропольский государственный медицинский университет Министерства здравоохранения Российской Федерации</t>
  </si>
  <si>
    <t>682721.06.01</t>
  </si>
  <si>
    <t>Дерматология и венерология: Уч.пос. / О.А.Притуло. - М.:НИЦ ИНФРА-М,2026. - 204 с.(ВО: Спец. (КрымФУ))(П)</t>
  </si>
  <si>
    <t>ДЕРМАТОЛОГИЯ И ВЕНЕРОЛОГИЯ</t>
  </si>
  <si>
    <t>Притуло О.А., Винцерская Г.А., Прохоров Д.В. и др.</t>
  </si>
  <si>
    <t>978-5-16-021102-2</t>
  </si>
  <si>
    <t>31.05.02, 31.05.03, 32.05.01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</si>
  <si>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 (протокол № 2 от 28.01.2019)</t>
  </si>
  <si>
    <t>832132.01.01</t>
  </si>
  <si>
    <t>Детские инфекционные болезни: Уч. / И. О. Стома - М.:НИЦ ИНФРА-М, ГомГМУ,2024.-413, [24] с.:цв.илл.(ВО)(п)</t>
  </si>
  <si>
    <t>ДЕТСКИЕ ИНФЕКЦИОННЫЕ БОЛЕЗНИ</t>
  </si>
  <si>
    <t>Стома И.О., Красавцев Е.Л., Демчило А.П. и др.</t>
  </si>
  <si>
    <t>978-5-16-019997-9</t>
  </si>
  <si>
    <t>31.05.01, 31.08.35, 32.04.01</t>
  </si>
  <si>
    <t>Утверждено Министерством образования Республики Беларусь в качестве учебника для студентов учреждений высшего образования по специальностям «Лечебное дело», «Медико-профилактическое дело»</t>
  </si>
  <si>
    <t>832394.01.01</t>
  </si>
  <si>
    <t>Диагностика и лечение нарушений гемостаза: Уч.мет.пос./ И.А.Новикова-М.:НИЦ ИНФРА-М, ГомГМУ,2025.-161 с.(п)</t>
  </si>
  <si>
    <t>ДИАГНОСТИКА И ЛЕЧЕНИЕ НАРУШЕНИЙ ГЕМОСТАЗА</t>
  </si>
  <si>
    <t>Новикова И.А., Ходулева С.А.</t>
  </si>
  <si>
    <t>978-5-16-020100-9</t>
  </si>
  <si>
    <t>236100.11.01</t>
  </si>
  <si>
    <t>Доврачебная мед. помощь при неот.сост. у детей: Уч.пос. / Д.И.Зелинская -М.:НИЦ ИНФРА-М,2024-74с.(О)</t>
  </si>
  <si>
    <t>ДОВРАЧЕБНАЯ МЕДИЦИНСКАЯ ПОМОЩЬ ПРИ НЕОТЛОЖНЫХ СОСТОЯНИЯХ У ДЕТЕЙ</t>
  </si>
  <si>
    <t>Зелинская Д.И., Терлецкая Р.Н.</t>
  </si>
  <si>
    <t>Дополнительное образование медсестер</t>
  </si>
  <si>
    <t>978-5-16-009153-2</t>
  </si>
  <si>
    <t>31.02.01, 31.02.02, 31.05.02, 34.01.01, 34.02.01, 34.02.02, 34.03.01</t>
  </si>
  <si>
    <t>Рекомендовано в качестве учебного пособия для студентов высших учебных заведений, обучающихся по направлению подготовки 34.03.01 «Сестринское дело» (квалификация (степень) «академическая медицинская сестра»)</t>
  </si>
  <si>
    <t>Российская медицинская академия непрерывного профессионального образования</t>
  </si>
  <si>
    <t>682859.09.01</t>
  </si>
  <si>
    <t>Доврачебная мед. помощь при неотложных сост. у детей: Уч.пос. / Д.И.Зелинская - М.:НИЦ ИНФРА-М,2026. - 74 с.(О)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</si>
  <si>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</si>
  <si>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</si>
  <si>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</si>
  <si>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?2</t>
  </si>
  <si>
    <t>436300.08.01</t>
  </si>
  <si>
    <t>Жирные кислоты, триглицериды...: Моногр. / В.Н. Титов - М.: НИЦ ИНФРА-М, 2023 -197 с. (Науч.мысль)(о)</t>
  </si>
  <si>
    <t>ЖИРНЫЕ КИСЛОТЫ, ТРИГЛИЦЕРИДЫ, ГИПЕРТРИГЛИЦЕРИДЕМИЯ, ГИПЕРГЛЕКЕМИЯ И ИНСУЛИН</t>
  </si>
  <si>
    <t>Титов В.Н., Рожкова Т.А., Амелюшкина В.А.</t>
  </si>
  <si>
    <t>978-5-16-011325-8</t>
  </si>
  <si>
    <t>ДА</t>
  </si>
  <si>
    <t>Российский кардиологический научно-производственный комплекс</t>
  </si>
  <si>
    <t>420250.06.01</t>
  </si>
  <si>
    <t>Заболевания внутренних органов при манифестных..: Моногр. / Б.Н.Кривошеев - 2 изд. - ИНФРА-М, 2025 - 296 с.(о)</t>
  </si>
  <si>
    <t>ЗАБОЛЕВАНИЯ ВНУТРЕННИХ ОРГАНОВ ПРИ МАНИФЕСТНЫХ И ЛАТЕНТНЫХ НАРУШЕНИЯХ ПОРФИРИНОВОГО ОБМЕНА, ИЗД.2</t>
  </si>
  <si>
    <t>Кривошеев Б. Н., Куимов А. Д., Кривошеев А. Б.</t>
  </si>
  <si>
    <t>978-5-16-006542-7</t>
  </si>
  <si>
    <t>Новосибирский государственный медицинский университет</t>
  </si>
  <si>
    <t>0214</t>
  </si>
  <si>
    <t>714390.03.01</t>
  </si>
  <si>
    <t>Закономерности формир. спинального тормож...: Моногр. / А.А.Челноков-М.:НИЦ ИНФРА-М,2023.-192с(О)</t>
  </si>
  <si>
    <t>ЗАКОНОМЕРНОСТИ ФОРМИРОВАНИЯ СПИНАЛЬНОГО ТОРМОЖЕНИЯ У ЧЕЛОВЕКА</t>
  </si>
  <si>
    <t>Челноков А.А., Городничев Р.М.</t>
  </si>
  <si>
    <t>978-5-16-015521-0</t>
  </si>
  <si>
    <t>Великолукская государственная академия физической культуры и спорта</t>
  </si>
  <si>
    <t>728770.09.01</t>
  </si>
  <si>
    <t>Здоровый человек и его окружение: Уч. / С.Р.Волков - М.:НИЦ ИНФРА-М,2025 - 641 с.-(СПО)(П)</t>
  </si>
  <si>
    <t>ЗДОРОВЫЙ ЧЕЛОВЕК И ЕГО ОКРУЖЕНИЕ</t>
  </si>
  <si>
    <t>Волков С.Р., Волкова М.М.</t>
  </si>
  <si>
    <t>978-5-16-016062-7</t>
  </si>
  <si>
    <t>31.02.01, 31.02.02, 31.02.05, 31.02.06, 32.02.01, 34.02.01, 34.02.02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</si>
  <si>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</si>
  <si>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</si>
  <si>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СПО-2021, Победитель</t>
  </si>
  <si>
    <t>689643.04.01</t>
  </si>
  <si>
    <t>Изменения кожи у терапевтического пациента: Уч.пос. / Е.В.Хазова-М.:НИЦ ИНФРА-М,2024.-296 с.(ВО)(п)</t>
  </si>
  <si>
    <t>ИЗМЕНЕНИЯ КОЖИ У ТЕРАПЕВТИЧЕСКОГО ПАЦИЕНТА</t>
  </si>
  <si>
    <t>Хазова Е.В., Ослопов В.Н., Ослопова Ю.В. и др.</t>
  </si>
  <si>
    <t>978-5-16-014756-7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</si>
  <si>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уровня специалитета по направлениям подготовки 31.05.01 «Лечебное дело», 31.05.02 «Педиатрия», 32.05.01 «Медико-профилактическое дело» (регистрационный номер рецензии: 891 ЭКУ от 17 октября 2019 г.)</t>
  </si>
  <si>
    <t>804937.01.01</t>
  </si>
  <si>
    <t>Измерительные преобразователи и приборы: теория... / А.П.Васютенко. - М.:НИЦ ИНФРА-М,2025. - 333 с.(ВО)(п)</t>
  </si>
  <si>
    <t>ИЗМЕРИТЕЛЬНЫЕ ПРЕОБРАЗОВАТЕЛИ И ПРИБОРЫ: ТЕОРИЯ, ИССЛЕДОВАНИЕ, РАСЧЕТ</t>
  </si>
  <si>
    <t>Васютенко А.П., Заморёнова Д.В., Балакина Н.А. и др.</t>
  </si>
  <si>
    <t>978-5-16-018738-9</t>
  </si>
  <si>
    <t>Энергетика. Промышленность</t>
  </si>
  <si>
    <t>12.03.01, 12.03.02, 12.03.03, 12.03.04, 12.03.05, 15.03.01, 15.03.02, 15.03.03, 15.03.04, 15.03.05, 15.03.06</t>
  </si>
  <si>
    <t>Севастопольский государственный университет</t>
  </si>
  <si>
    <t>706521.04.01</t>
  </si>
  <si>
    <t>Именные симптомы и синдромы в акуш. и гинекологии: Уч.пос. / Стрижаков А.Н. - М.:НИЦ ИНФРА-М,2024.-267с(П)</t>
  </si>
  <si>
    <t>ИМЕННЫЕ СИМПТОМЫ И СИНДРОМЫ В АКУШЕРСТВЕ И ГИНЕКОЛОГИИ</t>
  </si>
  <si>
    <t>Стрижаков А.Н., Тезиков Ю.В., Липатов И.С. и др.</t>
  </si>
  <si>
    <t>978-5-16-015472-5</t>
  </si>
  <si>
    <t>Рекомендовано Координационным советом по области образования «Здравоохранение и медицинские науки» федерального государственного автономного образовательного учреждения высшего образования «Первый Московский государственный медицинский университет имени И.М. Сеченова» Министерства здравоохранения Российской Федерации (Сеченовский Университет) 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уровня специалитета по направлению подготовки 31.05.01 «Лечебное дело»</t>
  </si>
  <si>
    <t>732496.05.01</t>
  </si>
  <si>
    <t>Иммунопатогенез острого панкреатита: Моногр. / Е.Е.Ачкасов - М.:НИЦ ИНФРА-М,2023 - 168 с.(Науч.мысль)(О)</t>
  </si>
  <si>
    <t>ИММУНОПАТОГЕНЕЗ ОСТРОГО ПАНКРЕАТИТА</t>
  </si>
  <si>
    <t>Ачкасов Е.Е., Винник Ю.С., Дунаевская С.С.</t>
  </si>
  <si>
    <t>978-5-16-016246-1</t>
  </si>
  <si>
    <t>31.05.01, 31.08.28</t>
  </si>
  <si>
    <t>715720.02.01</t>
  </si>
  <si>
    <t>Иммунотропные эффекты лечебных факторов: Моногр. / А.М.Земсков и др.-М.:НИЦ ИНФРА-М,2023.-186 с..(О)</t>
  </si>
  <si>
    <t>ИММУНОТРОПНЫЕ ЭФФЕКТЫ ЛЕЧЕБНЫХ ФАКТОРОВ</t>
  </si>
  <si>
    <t>Земсков А.М., Земскова В.А., Земсков В.М.</t>
  </si>
  <si>
    <t>978-5-16-015526-5</t>
  </si>
  <si>
    <t>Воронежский государственный медицинский университет им. Н.Н. Бурденко</t>
  </si>
  <si>
    <t>420050.10.01</t>
  </si>
  <si>
    <t>Инфаркт миокарда у женщин: Моногр. / А.Д.Куимов - М.: НИЦ ИНФРА-М, 2025 - 126 с.(Науч. мысль) (о)</t>
  </si>
  <si>
    <t>ИНФАРКТ МИОКАРДА У ЖЕНЩИН</t>
  </si>
  <si>
    <t>Куимов А. Д.</t>
  </si>
  <si>
    <t>978-5-16-006540-3</t>
  </si>
  <si>
    <t>31.05.01, 31.06.01, 31.07.01, 31.08.36</t>
  </si>
  <si>
    <t>853012.01.01</t>
  </si>
  <si>
    <t>Инфекции, изменившие мир: чума, оспа, холера: Уч.пос. / И.О.Стома - М.:НИЦ ИНФРА-М, ГомГМУ,2025. - 414 с.(ВО)(п)</t>
  </si>
  <si>
    <t>ИНФЕКЦИИ, ИЗМЕНИВШИЕ МИР: ЧУМА, ОСПА, ХОЛЕРА</t>
  </si>
  <si>
    <t>Стома И.О., Сироткин А.А.</t>
  </si>
  <si>
    <t>978-5-16-020867-1</t>
  </si>
  <si>
    <t>30.05.03, 31.05.01, 31.05.02, 31.05.03, 32.05.01</t>
  </si>
  <si>
    <t>Апрель, 2025</t>
  </si>
  <si>
    <t>682873.04.01</t>
  </si>
  <si>
    <t>Инфекционные  и  паразит.забол.у детей: рук.: Уч.пос. / Д.И.Зелинская - М.:НИЦ ИНФРА-М,2024-352(СПО)(П)</t>
  </si>
  <si>
    <t>ИНФЕКЦИОННЫЕ  И  ПАРАЗИТАРНЫЕ ЗАБОЛЕВАНИЯ У ДЕТЕЙ: РУКОВОДСТВО</t>
  </si>
  <si>
    <t>Зелинская Д.И., Исполатовская Э.О., Кешишян Е.С. и др.</t>
  </si>
  <si>
    <t>978-5-16-013923-4</t>
  </si>
  <si>
    <t>31.02.01, 31.02.02, 31.02.05, 31.02.06, 32.02.01, 34.02.01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</si>
  <si>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</si>
  <si>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52</t>
  </si>
  <si>
    <t>274500.09.01</t>
  </si>
  <si>
    <t>Инфекционные  и  паразитарные  заболевания у детей: Уч. пос. / Д.И.Зелинская - М.: ИНФРА-М, 2025 - 352с.(П)</t>
  </si>
  <si>
    <t>ИНФЕКЦИОННЫЕ  И  ПАРАЗИТАРНЫЕ  ЗАБОЛЕВАНИЯ У ДЕТЕЙ</t>
  </si>
  <si>
    <t>Зелинская Д. И., Исполатовская Э. О., Кешишян Е. С., Кузнецов А. И.</t>
  </si>
  <si>
    <t>978-5-16-009702-2</t>
  </si>
  <si>
    <t>30.05.01, 30.05.02, 31.05.01, 31.05.02, 31.05.03, 31.08.19, 31.08.35, 33.05.01, 34.03.01</t>
  </si>
  <si>
    <t>832384.02.01</t>
  </si>
  <si>
    <t>Клиническая анатомия и заболевания гортани...: Уч.мет.пос. / И.Д.Шляга - М.:НИЦ ИНФРА-М,2026 - 114 с.(ВО)(о)</t>
  </si>
  <si>
    <t>КЛИНИЧЕСКАЯ АНАТОМИЯ И ЗАБОЛЕВАНИЯ ГОРТАНИ. СОВРЕМЕННЫЕ МЕТОДЫ ДИАГНОСТИКИ</t>
  </si>
  <si>
    <t>Шляга И.Д., Межейникова М.О., Поддубный А.А.</t>
  </si>
  <si>
    <t>978-5-16-020379-9</t>
  </si>
  <si>
    <t>31.05.01, 31.05.02, 31.05.03, 32.05.01</t>
  </si>
  <si>
    <t>643070.10.01</t>
  </si>
  <si>
    <t>Клиническая биохимия:курс лекций / В.Н.Титов - М.:НИЦ ИНФРА-М,2026 - 441 с.(Клиническая практика)(П)</t>
  </si>
  <si>
    <t>КЛИНИЧЕСКАЯ БИОХИМИЯ:КУРС ЛЕКЦИЙ</t>
  </si>
  <si>
    <t>Титов В.Н.</t>
  </si>
  <si>
    <t>978-5-16-012430-8</t>
  </si>
  <si>
    <t>Курс лекций</t>
  </si>
  <si>
    <t>30.06.01, 30.07.01, 31.06.01, 31.07.01</t>
  </si>
  <si>
    <t>0117</t>
  </si>
  <si>
    <t>АКАДЕМУС-2017, Победитель</t>
  </si>
  <si>
    <t>716434.04.01</t>
  </si>
  <si>
    <t>Клиническая иммунология и аллергология: Уч. / А.М.Земсков. - М.:НИЦ ИНФРА-М,2025. - 420 с.(ВО: Спец.)(П)</t>
  </si>
  <si>
    <t>КЛИНИЧЕСКАЯ ИММУНОЛОГИЯ И АЛЛЕРГОЛОГИЯ</t>
  </si>
  <si>
    <t>Земсков А.М., Земсков В.М., Земскова В.А.</t>
  </si>
  <si>
    <t>978-5-16-020564-9</t>
  </si>
  <si>
    <t>658024.03.01</t>
  </si>
  <si>
    <t>Клиническая история хирургич. больного: Справ.пос./ В.И.Белоконев-М:Форум,НИЦ ИНФРА-М,2023-223с(ВО)(П)</t>
  </si>
  <si>
    <t>КЛИНИЧЕСКАЯ ИСТОРИЯ ХИРУРГИЧЕСКОГО БОЛЬНОГО</t>
  </si>
  <si>
    <t>Белоконев В.И., Мелентьева О.Н.</t>
  </si>
  <si>
    <t>978-5-00091-470-0</t>
  </si>
  <si>
    <t>Справочное пособие</t>
  </si>
  <si>
    <t>Рекомендовано в качестве учебного пособия  для студентов высших учебных заведений, обучающихся по направлениям подготовки 31.05.01 «Лечебное дело» (квалификация «врач общей практики»); 31.08.67 «Хирургия» (квалификация «врач-хирург»)</t>
  </si>
  <si>
    <t>420150.10.01</t>
  </si>
  <si>
    <t>Клиническая психиатрия. Избр. лекции: Уч.пос. / Л.М.Барденштейн - М.:НИЦ ИНФРА-М,2025 - 432 с.(ВО)(п)</t>
  </si>
  <si>
    <t>КЛИНИЧЕСКАЯ ПСИХИАТРИЯ. ИЗБРАННЫЕ ЛЕКЦИИ</t>
  </si>
  <si>
    <t>Барденштейн Л.М., Беглянкин Н.И., Казаковцев Б.А. и др.</t>
  </si>
  <si>
    <t>978-5-16-006541-0</t>
  </si>
  <si>
    <t>31.00.00, 31.05.03</t>
  </si>
  <si>
    <t>Рекомендуется Учебно-методическим объединением по медицинскому и фармацевтическому образованию вузов России в качестве учебного пособия для студентов медицинских вузов, обучающихся по специальности 060105 — "Стоматология”</t>
  </si>
  <si>
    <t>Российский университет медицины</t>
  </si>
  <si>
    <t>176300.11.01</t>
  </si>
  <si>
    <t>Клиническая фармакология и рацион..: Уч. пос. / В.В.Косарев - М.:Вуз.уч.:НИЦ Инфра-М, 2025 - 237с. (п)(+CD)</t>
  </si>
  <si>
    <t>КЛИНИЧЕСКАЯ ФАРМАКОЛОГИЯ И РАЦИОНАЛЬНАЯ ФАРМАКОТЕРАПИЯ</t>
  </si>
  <si>
    <t>Косарев В. В., Бабанов С. А.</t>
  </si>
  <si>
    <t>978-5-9558-0258-9</t>
  </si>
  <si>
    <t>31.05.03, 32.05.01, 33.05.01, 34.03.01</t>
  </si>
  <si>
    <t>Рекомендовано Учебно-методическим объединением по медицинскому и фармацевтическому образованию вузов РФ в качестве учебного пособия для системы послевузовского профессионального образования врачей</t>
  </si>
  <si>
    <t>721508.07.01</t>
  </si>
  <si>
    <t>Клиническая эндокрин. детей и подростков: Уч.пос.: В 2 ч.Ч.2 / Ю.Г.Самойлова - М.:НИЦ ИНФРА-М,2025 - 286 с.(П)</t>
  </si>
  <si>
    <t>КЛИНИЧЕСКАЯ ЭНДОКРИНОЛОГИЯ ДЕТЕЙ И ПОДРОСТКОВ: В 2 ЧАСТЯХ ЧАСТЬ 2, Т.2</t>
  </si>
  <si>
    <t>Самойлова Ю.Г., Олейник О.А., Ворожцова И.Н. и др.</t>
  </si>
  <si>
    <t>978-5-16-016020-7</t>
  </si>
  <si>
    <t>31.05.02, 32.05.01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</si>
  <si>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31.05.02 «Педиатрия» (квалификация «врач-педиатр общей практики») (протокол № 12 от 24.06.2019)</t>
  </si>
  <si>
    <t>Сибирский государственный медицинский университет</t>
  </si>
  <si>
    <t>674053.10.01</t>
  </si>
  <si>
    <t>Клиническая эндокринология детей и подростков: Уч. пос.: В 2 ч.Ч.1 / Ю.Г.Самойлова - М.:НИЦ ИНФРА-М,2025 - 313 с.(П)</t>
  </si>
  <si>
    <t>КЛИНИЧЕСКАЯ ЭНДОКРИНОЛОГИЯ ДЕТЕЙ И ПОДРОСТКОВ, Т.1</t>
  </si>
  <si>
    <t>Самойлова Ю.Г., Олейник О.А., Матвеева М.В. и др.</t>
  </si>
  <si>
    <t>978-5-16-015100-7</t>
  </si>
  <si>
    <t>702285.04.01</t>
  </si>
  <si>
    <t>Клинические варианты повреждений пищевода...: Уч.пос. / В.И.Белоконев - М.:НИЦ ИНФРА-М,2022 - 162 с.(П)</t>
  </si>
  <si>
    <t>КЛИНИЧЕСКИЕ ВАРИАНТЫ ПОВРЕЖДЕНИЙ ПИЩЕВОДА, ДИАГНОСТИКА И СПОСОБЫ ЛЕЧЕНИЯ</t>
  </si>
  <si>
    <t>978-5-16-015024-6</t>
  </si>
  <si>
    <t>31.05.01, 31.05.02, 31.08.28</t>
  </si>
  <si>
    <t>758410.01.01</t>
  </si>
  <si>
    <t>Комплексная нелекарств. коррек. климактерических расстройств...: Моногр. / Р.Р.Бериханова-М.:НИЦ ИНФРА-М,2022.-251 с.(П)</t>
  </si>
  <si>
    <t>КОМПЛЕКСНАЯ НЕЛЕКАРСТВЕННАЯ КОРРЕКЦИЯ КЛИМАКТЕРИЧЕСКИХ РАССТРОЙСТВ У ПАЦИЕНТОК С МЕТАБОЛИЧЕСКИМ СИНДРОМОМ</t>
  </si>
  <si>
    <t>Бериханова Р.Р., Миненко И.А.</t>
  </si>
  <si>
    <t>978-5-16-017061-9</t>
  </si>
  <si>
    <t>164550.10.01</t>
  </si>
  <si>
    <t>Комплексное восстановл. речи у взрослых пациентов... / В.А.Тинин - М.:ИЦ РИОР, НИЦ ИНФРА-М,2026 - 111 с.(О)</t>
  </si>
  <si>
    <t>КОМПЛЕКСНОЕ ВОССТАНОВЛЕНИЕ РЕЧИ У ВЗРОСЛЫХ ПАЦИЕНТОВ</t>
  </si>
  <si>
    <t>Тинин В.А.</t>
  </si>
  <si>
    <t>978-5-369-00995-6</t>
  </si>
  <si>
    <t>31.05.01, 31.05.02, 31.08.42, 44.04.03</t>
  </si>
  <si>
    <t>ГБУЗ «ГП№69 ДЗМ»</t>
  </si>
  <si>
    <t>084450.07.01</t>
  </si>
  <si>
    <t>Компьютер. электрофизиол. и функцион. диагн.: Уч. пос. / А.П. Кулаичев - 4 изд. -М.:Форум,2018-640с.</t>
  </si>
  <si>
    <t>КОМПЬЮТЕРНАЯ ЭЛЕКТРОФИЗИОЛОГИЯ И ФУНКЦИОНАЛЬНАЯ ДИАГНОСТИКА, ИЗД.4</t>
  </si>
  <si>
    <t>Кулаичев А. П.</t>
  </si>
  <si>
    <t>978-5-91134-148-0</t>
  </si>
  <si>
    <t>30.05.02, 30.05.03, 31.05.01, 31.05.02</t>
  </si>
  <si>
    <t>Допущено Учебно-методическим объединением по классическому университетскому образованию в качестве учебного пособия для студентов, обучающихся по направлению 020200 "Биология" и специальности 020205 "Физиология"</t>
  </si>
  <si>
    <t>Московский государственный университет им. М.В. Ломоносова, биологический факультет</t>
  </si>
  <si>
    <t>0415</t>
  </si>
  <si>
    <t>084450.13.01</t>
  </si>
  <si>
    <t>Компьютерная электрофизиол. и функцион. диагн.: Уч.пос. / А.П. Кулаичев - 5 изд. - М.:Форум,2025 - 470 с.(П)</t>
  </si>
  <si>
    <t>КОМПЬЮТЕРНАЯ ЭЛЕКТРОФИЗИОЛОГИЯ И ФУНКЦИОНАЛЬНАЯ ДИАГНОСТИКА, ИЗД.5</t>
  </si>
  <si>
    <t>Кулаичев А.</t>
  </si>
  <si>
    <t>978-5-16-021018-6</t>
  </si>
  <si>
    <t>Допущено Учебно-методическим объединением по классическому университетскому образованию в качестве учебного пособия для вузов по дисциплинам «Физиология», «Психология»</t>
  </si>
  <si>
    <t>0519</t>
  </si>
  <si>
    <t>717628.07.01</t>
  </si>
  <si>
    <t>Лечебная физ. культ. при заболев. людей пожилого..: Уч.пос. / Т.В.Карасева - М.:НИЦ ИНФРА-М,2026. - 219 с.(ВО)(П)</t>
  </si>
  <si>
    <t>ЛЕЧЕБНАЯ ФИЗИЧЕСКАЯ КУЛЬТУРА ПРИ ЗАБОЛЕВАНИЯХ ЛЮДЕЙ ПОЖИЛОГО ВОЗРАСТА</t>
  </si>
  <si>
    <t>Карасева Т.В., Махов А.С., Замогильнов А.И. и др.</t>
  </si>
  <si>
    <t>978-5-16-018569-9</t>
  </si>
  <si>
    <t>49.03.01, 49.03.02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</si>
  <si>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культура»,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</si>
  <si>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Ивановский государственный университет</t>
  </si>
  <si>
    <t>758397.07.01</t>
  </si>
  <si>
    <t>Лечебная физ. культ. при заболеваниях людей...: Уч.пос. / Т.В.Карасева. - М.:НИЦ ИНФРА-М,2026. - 219 с.(П)</t>
  </si>
  <si>
    <t>978-5-16-016983-5</t>
  </si>
  <si>
    <t>31.02.01, 49.02.01, 49.02.02, 49.02.03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</si>
  <si>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</si>
  <si>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ПО2</t>
  </si>
  <si>
    <t>758402.06.01</t>
  </si>
  <si>
    <t>Лечебная физ. культ. при заболеваниях нервной сис.: Уч.пос. / Т.В.Карасева - М.:НИЦ ИНФРА-М,2025 - 164 с.(П)</t>
  </si>
  <si>
    <t>ЛЕЧЕБНАЯ ФИЗИЧЕСКАЯ КУЛЬТУРА ПРИ ЗАБОЛЕВАНИЯХ НЕРВНОЙ СИСТЕМЫ</t>
  </si>
  <si>
    <t>Карасева Т.В., Махов А.С., Толстова С.Ю.</t>
  </si>
  <si>
    <t>978-5-16-016984-2</t>
  </si>
  <si>
    <t>31.02.01, 34.02.02, 49.02.01, 49.02.02, 49.02.03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</si>
  <si>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</si>
  <si>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717627.06.01</t>
  </si>
  <si>
    <t>Лечебная физ. культура при заболеваниях дет. возраста: Уч.пос. / Т.В.Карасева. - М.:НИЦ ИНФРА-М,2025. - 223 с.(ВО)(П)</t>
  </si>
  <si>
    <t>ЛЕЧЕБНАЯ ФИЗИЧЕСКАЯ КУЛЬТУРА ПРИ ЗАБОЛЕВАНИЯХ ДЕТСКОГО ВОЗРАСТА</t>
  </si>
  <si>
    <t>978-5-16-019328-1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</si>
  <si>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</si>
  <si>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758404.05.01</t>
  </si>
  <si>
    <t>Лечебная физ. культура при заболеваниях дет. возраста: Уч.пос. / Т.В.Карасева. - М.:НИЦ ИНФРА-М,2026. - 223 с.(П)</t>
  </si>
  <si>
    <t>978-5-16-016986-6</t>
  </si>
  <si>
    <t>31.02.01, 44.02.01, 49.02.01, 49.02.02, 49.02.03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</si>
  <si>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</si>
  <si>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758403.06.01</t>
  </si>
  <si>
    <t>Лечебная физ. культура при терапевт. заболеваниях: Уч.пос. / Т.В.Карасева. - М.:НИЦ ИНФРА-М,2026 -158 с.(П)</t>
  </si>
  <si>
    <t>ЛЕЧЕБНАЯ ФИЗИЧЕСКАЯ КУЛЬТУРА ПРИ ТЕРАПЕВТИЧЕСКИХ ЗАБОЛЕВАНИЯХ</t>
  </si>
  <si>
    <t>978-5-16-016985-9</t>
  </si>
  <si>
    <t>717630.04.01</t>
  </si>
  <si>
    <t>Лечебная физич. культ. при заболеваниях нерв. сис.: Уч.пос. / Т.В.Карасева. - М.:НИЦ ИНФРА-М,2025. - 164 с.(ВО)(П)</t>
  </si>
  <si>
    <t>Высшее образование: Бакалавриат</t>
  </si>
  <si>
    <t>978-5-16-015591-3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</si>
  <si>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культура»,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№9 от 28.09.2020)</t>
  </si>
  <si>
    <t>717631.05.01</t>
  </si>
  <si>
    <t>Лечебная физич. культура при терапевтич..: Уч.пос. / Т.В.Карасева - М.:НИЦ ИНФРА-М,2026 - 158 с.(ВО)(п)</t>
  </si>
  <si>
    <t>978-5-16-018979-6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</si>
  <si>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49.03.01 «Физическая культура» и 49.03.02 «Физическая культура для лиц с отклонениями в состоянии здоровья (адаптивная физическая культура)» (квалификация (степень) «бакалавр») (протокол № 8 от 22.06.2020)</t>
  </si>
  <si>
    <t>757844.07.01</t>
  </si>
  <si>
    <t>Лечебная физическая культура при травмах: Уч.пос. / Т.В.Карасева - М.:НИЦ ИНФРА-М,2026. - 140 с.(СПО)(П)</t>
  </si>
  <si>
    <t>ЛЕЧЕБНАЯ ФИЗИЧЕСКАЯ КУЛЬТУРА ПРИ ТРАВМАХ</t>
  </si>
  <si>
    <t>978-5-16-016938-5</t>
  </si>
  <si>
    <t>717629.06.01</t>
  </si>
  <si>
    <t>Лечебная физическая культура при травмах: Уч.пос. / Т.В.Карасева. - М.:НИЦ ИНФРА-М,2026. - 140 с.(ВО)(О)</t>
  </si>
  <si>
    <t>978-5-16-019891-0</t>
  </si>
  <si>
    <t>705675.05.01</t>
  </si>
  <si>
    <t>Лечебные грязи Крыма: Монография / В.Н.Любчик - М.:НИЦ ИНФРА-М,2023 - 144 с.(Науч.мысль)(О)</t>
  </si>
  <si>
    <t>ЛЕЧЕБНЫЕ ГРЯЗИ КРЫМА</t>
  </si>
  <si>
    <t>Любчик В.Н., Ежов В.В.</t>
  </si>
  <si>
    <t>Научная мысль (КрымФУ)</t>
  </si>
  <si>
    <t>978-5-16-016334-5</t>
  </si>
  <si>
    <t>771335.04.01</t>
  </si>
  <si>
    <t>Лечение пациентов с вентральной грыжей и ожирением / В.И.Белоконев. - М.:НИЦ ИНФРА-М,2025. - 187 с.(П)</t>
  </si>
  <si>
    <t>ЛЕЧЕНИЕ ПАЦИЕНТОВ С ВЕНТРАЛЬНОЙ ГРЫЖЕЙ И ОЖИРЕНИЕМ</t>
  </si>
  <si>
    <t>Белоконев В.И., Пушкин С.Ю., Захаров В.П. и др.</t>
  </si>
  <si>
    <t>978-5-16-017766-3</t>
  </si>
  <si>
    <t>339900.07.01</t>
  </si>
  <si>
    <t>Лечение пациентов терапевтич. профиля: Уч.пос. / В.Г.Лычев - М.:Форум, НИЦ ИНФРА-М,2025 - 400 с.(СПО)(П)</t>
  </si>
  <si>
    <t>ЛЕЧЕНИЕ ПАЦИЕНТОВ ТЕРАПЕВТИЧЕСКОГО ПРОФИЛЯ</t>
  </si>
  <si>
    <t>Лычев В.Г., Карманов В.К.</t>
  </si>
  <si>
    <t>СПО</t>
  </si>
  <si>
    <t>978-5-00091-618-6</t>
  </si>
  <si>
    <t>31.02.01, 34.02.01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</si>
  <si>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</si>
  <si>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425950.11.01</t>
  </si>
  <si>
    <t>Лечение психич. забол. в период беремен. и...: Уч.пос. / Е.А.Ушкалова - М:НИЦ ИНФРА-М,2026 - 284 с.(ВО) (п)</t>
  </si>
  <si>
    <t>ЛЕЧЕНИЕ ПСИХИЧЕСКИХ ЗАБОЛЕВАНИЙ В ПЕРИОД БЕРЕМЕННОСТИ И ЛАКТАЦИИ</t>
  </si>
  <si>
    <t>Ушкалова Е. А., Ушкалова А. В., Шифман Е. М.</t>
  </si>
  <si>
    <t>978-5-16-006600-4</t>
  </si>
  <si>
    <t>Российский университет дружбы народов имени Патриса Лумумбы</t>
  </si>
  <si>
    <t>653243.09.01</t>
  </si>
  <si>
    <t>Лимфедема нижних конечностей: диагност..: Уч.пос. / С.Е.Каторкин - 2изд. - М.:НИЦ ИНФРА-М,2026. - 110 с.(ВО)(о)</t>
  </si>
  <si>
    <t>ЛИМФЕДЕМА НИЖНИХ КОНЕЧНОСТЕЙ: ДИАГНОСТИКА И ЛЕЧЕНИЕ, ИЗД.2</t>
  </si>
  <si>
    <t>Каторкин С.Е., Мышенцев П.Н., Мельников М.А.</t>
  </si>
  <si>
    <t>978-5-16-018213-1</t>
  </si>
  <si>
    <t>31.05.01, 32.05.01</t>
  </si>
  <si>
    <t>Рекомендовано Центральным координационно-методическим советом федерального государственного бюджетного образовательного учреждения высшего образования «Самарский государственный медицинский университет» Министерства здравоохранения Российской Федерации</t>
  </si>
  <si>
    <t>0223</t>
  </si>
  <si>
    <t>653243.06.01</t>
  </si>
  <si>
    <t>Лимфедема нижних конечностей: диагност..: Уч.пос. / С.Е.Каторкин -М.:Форум, НИЦ ИНФРА-М,2022-103с(О)</t>
  </si>
  <si>
    <t>ЛИМФЕДЕМА НИЖНИХ КОНЕЧНОСТЕЙ: ДИАГНОСТИКА И ЛЕЧЕНИЕ</t>
  </si>
  <si>
    <t>Каторкин С.Е., Сушков С.А., Мышенцев П.Н. и др.</t>
  </si>
  <si>
    <t>978-5-00091-438-0</t>
  </si>
  <si>
    <t>798333.01.01</t>
  </si>
  <si>
    <t>Липосомальные формы ноотропных лекарств. средств: Моногр. / Ю.А.Полковникова-М.:НИЦ ИНФРА-М,2023.-193 с.(о)</t>
  </si>
  <si>
    <t>ЛИПОСОМАЛЬНЫЕ ФОРМЫ НООТРОПНЫХ ЛЕКАРСТВЕННЫХ СРЕДСТВ</t>
  </si>
  <si>
    <t>Полковникова Ю.А.</t>
  </si>
  <si>
    <t>978-5-16-018288-9</t>
  </si>
  <si>
    <t>33.05.01, 33.06.01, 33.08.01, 33.08.02, 33.08.03</t>
  </si>
  <si>
    <t>Воронежский государственный университет</t>
  </si>
  <si>
    <t>466350.11.01</t>
  </si>
  <si>
    <t>Малая хирургия: руководство: Практ. рук. / В.И.Маслов - М.:НИЦ ИНФРА-М,2024 - 248 с.(О)</t>
  </si>
  <si>
    <t>МАЛАЯ ХИРУРГИЯ: РУКОВОДСТВО</t>
  </si>
  <si>
    <t>Маслов В. И., Шапкин Ю. Г.</t>
  </si>
  <si>
    <t>978-5-16-009730-5</t>
  </si>
  <si>
    <t>31.02.01, 31.05.01, 31.05.02, 31.06.01, 31.07.01, 31.08.67</t>
  </si>
  <si>
    <t>Саратовский государственный медицинский университет им. В.И. Разумовского Минздрава России</t>
  </si>
  <si>
    <t>775278.01.01</t>
  </si>
  <si>
    <t>Малоинвазивная ургентная панкреатобилиарная хирургия...: Моногр. / Ю.С.Винник.-М.:НИЦ ИНФРА-М,2022.-276 с.(О)</t>
  </si>
  <si>
    <t>МАЛОИНВАЗИВНАЯ УРГЕНТНАЯ ПАНКРЕАТОБИЛИАРНАЯ ХИРУРГИЯ У ПАЦИЕНТОВ СТАРШИХ ВОЗРАСТНЫХ ГРУПП</t>
  </si>
  <si>
    <t>Винник Ю.С., Миллер С.В., Теплякова О.В.</t>
  </si>
  <si>
    <t>978-5-16-017611-6</t>
  </si>
  <si>
    <t>31.05.01, 31.06.01, 31.07.01, 31.08.67</t>
  </si>
  <si>
    <t>Красноярский государственный медицинский университет им. профессора В.Ф. Войно-Ясенецкого</t>
  </si>
  <si>
    <t>742682.04.01</t>
  </si>
  <si>
    <t>Медико-биологич. основы безопас.: Уч. / А.И.Лобанов, - 2 изд. - М.:НИЦ ИНФРА-М,2025. - 368 с.(СПО)(п)</t>
  </si>
  <si>
    <t>МЕДИКО-БИОЛОГИЧЕСКИЕ ОСНОВЫ БЕЗОПАСНОСТИ, ИЗД.2</t>
  </si>
  <si>
    <t>Лобанов А.И.</t>
  </si>
  <si>
    <t>978-5-16-019795-1</t>
  </si>
  <si>
    <t>00.02.01, 20.02.01, 20.02.02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</si>
  <si>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</si>
  <si>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</si>
  <si>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0224</t>
  </si>
  <si>
    <t>699847.04.01</t>
  </si>
  <si>
    <t>Медико-биологич. основы безопас.: Уч. / А.И.Лобанов, - 2 изд.-М.:НИЦ ИНФРА-М,2024.-368 с.(ВО)(П)</t>
  </si>
  <si>
    <t>978-5-16-016974-3</t>
  </si>
  <si>
    <t>20.03.01</t>
  </si>
  <si>
    <t>Рекомендовано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</si>
  <si>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0222</t>
  </si>
  <si>
    <t>699847.02.01</t>
  </si>
  <si>
    <t>Медико-биологические основы безопасности: Уч. / А.И.Лобанов - М.:НИЦ ИНФРА-М,2021 - 357 с.(ВО)(П)</t>
  </si>
  <si>
    <t>МЕДИКО-БИОЛОГИЧЕСКИЕ ОСНОВЫ БЕЗОПАСНОСТИ</t>
  </si>
  <si>
    <t>978-5-16-014840-3</t>
  </si>
  <si>
    <t>742682.01.01</t>
  </si>
  <si>
    <t>Медико-биологические основы безопасности: Уч. / А.И.Лобанов-М.:НИЦ ИНФРА-М,2021.-357 с..-(СПО)(П)</t>
  </si>
  <si>
    <t>978-5-16-016445-8</t>
  </si>
  <si>
    <t>699848.12.01</t>
  </si>
  <si>
    <t>Медицина катастроф (вопросы орг.лечебно-эвакуац...: Уч. / П.В.Авитисов - М.:НИЦ ИНФРА-М,2026 - 365 с.(ВО)</t>
  </si>
  <si>
    <t>МЕДИЦИНА КАТАСТРОФ (ВОПРОСЫ ОРГАНИЗАЦИИ ЛЕЧЕБНО-ЭВАКУАЦИОННОГО ОБЕСПЕЧЕНИЯ НАСЕЛЕНИЯ В ЧРЕЗВЫЧАЙНЫХ СИТУАЦИЯХ МИРНОГО ВРЕМЕНИ)</t>
  </si>
  <si>
    <t>Авитисов П.В., Лобанов А.И., Золотухин А.В. и др.</t>
  </si>
  <si>
    <t>978-5-16-018983-3</t>
  </si>
  <si>
    <t>20.03.01, 20.04.01, 31.05.01, 32.05.01, 34.03.01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</si>
  <si>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курсантов, студентов и слушателей образовательных учреждений МЧС России</t>
  </si>
  <si>
    <t>713079.01.01</t>
  </si>
  <si>
    <t>Медицинская антропология: Уч.пос. / Д.В.Михель-М.:НИЦ ИНФРА-М,2021.-338 с.(ВО: Бакалавриат)(П)</t>
  </si>
  <si>
    <t>МЕДИЦИНСКАЯ АНТРОПОЛОГИЯ</t>
  </si>
  <si>
    <t>Михель Д.В.</t>
  </si>
  <si>
    <t>978-5-16-015975-1</t>
  </si>
  <si>
    <t>31.05.01, 31.05.02, 31.05.03, 44.03.05, 51.03.01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</si>
  <si>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гуманитарным и медицинским направлениям подготовки (квалификация (степень) «бакалавр») (протокол № 6 от 16.06.2021)</t>
  </si>
  <si>
    <t>Российская академия народного хозяйства и государственной службы при Президенте РФ</t>
  </si>
  <si>
    <t>712503.08.01</t>
  </si>
  <si>
    <t>Медицинская антропология: Уч.пос. / О.В.Калмин - М.:НИЦ ИНФРА-М,2026  - 411 с.(ВО: Спец.)(П)</t>
  </si>
  <si>
    <t>Калмин О.В., Галкина Т.Н.</t>
  </si>
  <si>
    <t>978-5-16-015414-5</t>
  </si>
  <si>
    <t>31.05.01, 31.05.02, 31.05.03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</si>
  <si>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31.05.00 «Клиническая медицина» (протокол № 3 от 16.09.2019)</t>
  </si>
  <si>
    <t>Пензенский государственный университет</t>
  </si>
  <si>
    <t>476700.11.01</t>
  </si>
  <si>
    <t>Медицинская биология: Энц. справ. / О.Ю.Смирнов - 2 изд. - М.:НИЦ ИНФРА-М,2025 - 607 с.(П)</t>
  </si>
  <si>
    <t>МЕДИЦИНСКАЯ БИОЛОГИЯ: ЭНЦИКЛОПЕДИЧЕСКИЙ СПРАВОЧНИК, ИЗД.2</t>
  </si>
  <si>
    <t>Смирнов О.Ю.</t>
  </si>
  <si>
    <t>Справочники ИНФРА-М</t>
  </si>
  <si>
    <t>978-5-16-016122-8</t>
  </si>
  <si>
    <t>Справочник</t>
  </si>
  <si>
    <t>30.05.01, 30.05.02, 31.05.01, 31.05.02, 31.05.03, 32.05.01, 33.05.01, 34.03.01</t>
  </si>
  <si>
    <t>Сумский государственный университет</t>
  </si>
  <si>
    <t>0221</t>
  </si>
  <si>
    <t>476700.05.01</t>
  </si>
  <si>
    <t>Медицинская биология: Энц. справ. / О.Ю.Смирнов - М.:Форум, НИЦ ИНФРА-М, 2020-608с.(ВО)(П)</t>
  </si>
  <si>
    <t>МЕДИЦИНСКАЯ БИОЛОГИЯ</t>
  </si>
  <si>
    <t>Смирнов  О.Ю.</t>
  </si>
  <si>
    <t>978-5-00091-177-8</t>
  </si>
  <si>
    <t>440350.08.01</t>
  </si>
  <si>
    <t>Медицинская и биологическая физика.Практ.: Уч.пос. / В.Г.Лещенко-М:НИЦ ИНФРА-М;Мн:Нов.знание,2023-334с. (П)</t>
  </si>
  <si>
    <t>МЕДИЦИНСКАЯ И БИОЛОГИЧЕСКАЯ ФИЗИКА. ПРАКТИКУМ</t>
  </si>
  <si>
    <t>Лещенко В. Г., Ильич Г. К., Инсарова Н. И., Лещенко В. Г.</t>
  </si>
  <si>
    <t>978-5-16-006664-6</t>
  </si>
  <si>
    <t>03.03.01, 03.04.01, 04.04.01, 06.03.01, 06.04.01, 31.05.01, 31.05.02, 31.05.03, 32.05.01, 33.05.01, 34.03.01</t>
  </si>
  <si>
    <t>778503.04.01</t>
  </si>
  <si>
    <t>Медицинская оценка климатич. условий Евпаторийского курорта / В.Н.Любчик - М.:НИЦ ИНФРА-М,2026. - 213 с.(О)</t>
  </si>
  <si>
    <t>МЕДИЦИНСКАЯ ОЦЕНКА КЛИМАТИЧЕСКИХ УСЛОВИЙ ЕВПАТОРИЙСКОГО КУРОРТА</t>
  </si>
  <si>
    <t>Любчик В.Н.</t>
  </si>
  <si>
    <t>978-5-16-017762-5</t>
  </si>
  <si>
    <t>05.04.02, 31.05.01, 49.03.03, 49.04.02</t>
  </si>
  <si>
    <t>758704.06.01</t>
  </si>
  <si>
    <t>Медицинская паразитология: Уч.пос. / М.Д.Новак и др. - М.:НИЦ ИНФРА-М,2026. - 342 с.(ВО)(п)</t>
  </si>
  <si>
    <t>МЕДИЦИНСКАЯ ПАРАЗИТОЛОГИЯ</t>
  </si>
  <si>
    <t>Новак М.Д., Новак А.И., Енгашев С.В.</t>
  </si>
  <si>
    <t>978-5-16-021598-3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</si>
  <si>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специальностям 31.05.01 «Лечебное дело», 31.05.02 «Педиатрия», 32.05.01 «Медико-профилактическое дело» (квалификация «врач-лечебник, врач-педиатр, врач по общей гигиене, по эпидемиологии») (протокол № 4 от 13.04.2022)</t>
  </si>
  <si>
    <t>Рязанский государственный медицинский университет им. академика И.П. Павлова</t>
  </si>
  <si>
    <t>699849.07.01</t>
  </si>
  <si>
    <t>Медицинское обеспеч. ликвидации чрезвычайных...: Уч. / А.И.Лобанов - М.:НИЦ ИНФРА-М,2024. - 298 с.(ВО)(П)</t>
  </si>
  <si>
    <t>МЕДИЦИНСКОЕ ОБЕСПЕЧЕНИЕ ЛИКВИДАЦИИ ЧРЕЗВЫЧАЙНЫХ СИТУАЦИЙ</t>
  </si>
  <si>
    <t>978-5-16-014843-4</t>
  </si>
  <si>
    <t>20.03.01, 20.05.01, 31.05.01, 31.05.02, 32.04.01, 32.05.01, 34.03.01</t>
  </si>
  <si>
    <t>АКАДЕМУС-2018, Победитель</t>
  </si>
  <si>
    <t>786123.02.01</t>
  </si>
  <si>
    <t>Медицинское страхование: Уч. / А.П.Архипов - М.:НИЦ ИНФРА-М,2026. - 231 с.(ВО)(п)</t>
  </si>
  <si>
    <t>МЕДИЦИНСКОЕ СТРАХОВАНИЕ</t>
  </si>
  <si>
    <t>Архипов А.П.</t>
  </si>
  <si>
    <t>978-5-16-018216-2</t>
  </si>
  <si>
    <t>32.04.01, 34.03.01, 39.03.02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</si>
  <si>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</si>
  <si>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АКАДЕМУС-2022, Победитель, III место</t>
  </si>
  <si>
    <t>239900.06.01</t>
  </si>
  <si>
    <t>Медицинское страхование: Уч.пос. / О.А.Цыганова - М.: НИЦ ИНФРА-М, 2023 - 176 с. (ВО)(О)</t>
  </si>
  <si>
    <t>Цыганова О.А., Ившин И.В.</t>
  </si>
  <si>
    <t>978-5-16-009226-3</t>
  </si>
  <si>
    <t>31.02.01, 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38.03.01</t>
  </si>
  <si>
    <t>Рекомендовано в качестве учебного пособия для системы последипломного образования специалистов в рамках основной образовательной программы послевузовского профессионального образования по специальности "Управление сестринской деятельностью»</t>
  </si>
  <si>
    <t>Северный государственный медицинский университет</t>
  </si>
  <si>
    <t>705676.05.01</t>
  </si>
  <si>
    <t>Медицинское тепловидение: Уч.пос. / Е.Е.Ачкасов-М.:НИЦ ИНФРА-М,2023.-218 с.(ВО: Специалитет)(п)</t>
  </si>
  <si>
    <t>МЕДИЦИНСКОЕ ТЕПЛОВИДЕНИЕ</t>
  </si>
  <si>
    <t>Ачкасов Е.Е., Воловик М.Г., Долгов И.М. и др.</t>
  </si>
  <si>
    <t>978-5-16-015293-6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</si>
  <si>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программы дополнительного профессионального образования врачей. Регистрационный номер рецензии: 582 ЭКУ от 17 января 2019 г.</t>
  </si>
  <si>
    <t>635926.07.01</t>
  </si>
  <si>
    <t>Метаболический синдром — переедание физиолог. пищи.: Моногр. / В.Н.Титов - М.:НИЦ ИНФРА-М,2025 - 310 с.(о)</t>
  </si>
  <si>
    <t>МЕТАБОЛИЧЕСКИЙ СИНДРОМ — ПЕРЕЕДАНИЕ ФИЗИОЛОГИЧЕСКОЙ ПИЩИ. ВИСЦЕРАЛЬНЫЕ ЖИРОВЫЕ КЛЕТКИ, НЕЭТЕРИФИЦИРОВАННЫЕ СВОБОДНЫЕ ЖИРНЫЕ КИСЛОТЫ. ФИЛОГЕНЕЗ, ПАТОГЕНЕЗ, ДИАГНОСТИКА, ПРОФИЛАКТИКА)</t>
  </si>
  <si>
    <t>978-5-16-019385-4</t>
  </si>
  <si>
    <t>850641.01.01</t>
  </si>
  <si>
    <t>Методология обуч. детей и подростков с сахарным диабетом... / Г.И.Чуваков - М.:НИЦ ИНФРА-М,2026. - 239 с.(п)</t>
  </si>
  <si>
    <t>МЕТОДОЛОГИЯ ОБУЧЕНИЯ ДЕТЕЙ И ПОДРОСТКОВ С САХАРНЫМ ДИАБЕТОМ САМОКОНТРОЛЮ ЗАБОЛЕВАНИЯ С УЧЕТОМ ИХ ПСИХОЛОГИЧЕСКОГО СТАТУСА</t>
  </si>
  <si>
    <t>Чуваков Г.И., Чувакова О.А.</t>
  </si>
  <si>
    <t>978-5-16-020791-9</t>
  </si>
  <si>
    <t>31.05.02, 31.08.17</t>
  </si>
  <si>
    <t>Новгородский государственный университет им. Ярослава Мудрого</t>
  </si>
  <si>
    <t>Июль, 2025</t>
  </si>
  <si>
    <t>466150.11.01</t>
  </si>
  <si>
    <t>Минеральные и костные нарушения при...: Моногр. / Милованова Л.Ю. - М.:НИЦ ИНФРА-М,2024 - 107 с.(О)</t>
  </si>
  <si>
    <t>МИНЕРАЛЬНЫЕ И КОСТНЫЕ НАРУШЕНИЯ ПРИ ХРОНИЧЕСКОЙ БОЛЕЗНИ ПОЧЕК: ПРОФИЛАКТИКА И ЛЕЧЕНИЕ</t>
  </si>
  <si>
    <t>Милованова Л.Ю., Милованов Ю.С., Козловская Л.В.</t>
  </si>
  <si>
    <t>978-5-16-009728-2</t>
  </si>
  <si>
    <t>684669.06.01</t>
  </si>
  <si>
    <t>Молекулярно-генетич. основы онкогенеза: Уч.пос. / А.А.Майборода - М.:НИЦ ИНФРА-М,2025. - 125 с.(ВО)(П)</t>
  </si>
  <si>
    <t>МОЛЕКУЛЯРНО-ГЕНЕТИЧЕСКИЕ ОСНОВЫ ОНКОГЕНЕЗА</t>
  </si>
  <si>
    <t>Майборода А.А.</t>
  </si>
  <si>
    <t>978-5-16-014731-4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</si>
  <si>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31.05.01 «Лечебное дело», 31.05.02 «Педиатрия», 30.05.01 «Медицинская биохимия» (квалификация «врач (врач-педиатр) общей практики», «врач-биохимик») (протокол № 15 от 14.10.2019)</t>
  </si>
  <si>
    <t>Иркутский государственный медицинский университет</t>
  </si>
  <si>
    <t>229600.12.01</t>
  </si>
  <si>
    <t>Морфология и физиология сенсорных систем...: Уч.пос. / Ю.Н.Самко - М.:НИЦ ИНФРА-М,2026 - 158 с.(ВО)(О)</t>
  </si>
  <si>
    <t>МОРФОЛОГИЯ И ФИЗИОЛОГИЯ СЕНСОРНЫХ СИСТЕМ И ВЫСШЕЙ НЕРВНОЙ ДЕЯТЕЛЬНОСТИ</t>
  </si>
  <si>
    <t>978-5-16-009052-8</t>
  </si>
  <si>
    <t>06.03.01, 06.04.01, 31.05.01, 37.05.01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</si>
  <si>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 (протокол № 12 от 24.06.2019)</t>
  </si>
  <si>
    <t>149190.08.01</t>
  </si>
  <si>
    <t>Мужское сексуальное здоровье...: Уч.пос. / Л.Г.Агасаров-М.:Вуз. уч., ИНФРА-М,2024.-64 с.(О)</t>
  </si>
  <si>
    <t>МУЖСКОЕ СЕКСУАЛЬНОЕ ЗДОРОВЬЕ И СПОСОБЫ ЕГО ВОССТАНОВЛЕНИЯ</t>
  </si>
  <si>
    <t>Агасаров Л. Г., Гурцкой Р. А.</t>
  </si>
  <si>
    <t>978-5-9558-0196-4</t>
  </si>
  <si>
    <t>31.05.01, 31.08.23</t>
  </si>
  <si>
    <t>Рекомендовано УМО по медицинскому и фармацевтическому образованию вузов России в качестве учебного пособия для системы послевузовского и дополнительного профессионального образования врачей</t>
  </si>
  <si>
    <t>0111</t>
  </si>
  <si>
    <t>209900.12.01</t>
  </si>
  <si>
    <t>Нарушения движений глаз  в невролог.практ.: Уч.пос. / В.Н.Григорьева - 2 изд. - М.:НИЦ ИНФРА-М,2026 - 163 с.(ВО(П)</t>
  </si>
  <si>
    <t>НАРУШЕНИЯ ДВИЖЕНИЙ ГЛАЗ  В НЕВРОЛОГИЧЕСКОЙ ПРАКТИКЕ, ИЗД.2</t>
  </si>
  <si>
    <t>Григорьева В. Н.</t>
  </si>
  <si>
    <t>978-5-16-020415-4</t>
  </si>
  <si>
    <t>31.05.01, 31.05.02, 31.08.42, 34.03.01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</si>
  <si>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31.08.42 «Неврология» (квалификация «врач-невролог»)</t>
  </si>
  <si>
    <t>Приволжский исследовательский медицинский университет</t>
  </si>
  <si>
    <t>0218</t>
  </si>
  <si>
    <t>689694.07.01</t>
  </si>
  <si>
    <t>Настольная книга автора медицинской диссертации: Пос. / А.Н.Наркевич - М.:НИЦ ИНФРА-М,2026 - 454 с(ВО)(П)</t>
  </si>
  <si>
    <t>НАСТОЛЬНАЯ КНИГА АВТОРА МЕДИЦИНСКОЙ ДИССЕРТАЦИИ</t>
  </si>
  <si>
    <t>Наркевич А.Н., Виноградов К.А.</t>
  </si>
  <si>
    <t>978-5-16-020729-2</t>
  </si>
  <si>
    <t>Пособие</t>
  </si>
  <si>
    <t>Профессиональное образование / ВО - Кадры высшей квалификации / Аспирантура</t>
  </si>
  <si>
    <t>31.05.01, 31.05.02, 31.05.03, 31.06.01, 31.07.01</t>
  </si>
  <si>
    <t>657346.09.01</t>
  </si>
  <si>
    <t>Нейропсихология: Уч. пос. / А.П.Бизюк - М.:НИЦ ИНФРА-М,2026. - 539 с.(ВО)(п)</t>
  </si>
  <si>
    <t>НЕЙРОПСИХОЛОГИЯ</t>
  </si>
  <si>
    <t>Бизюк А.П.</t>
  </si>
  <si>
    <t>978-5-16-020816-9</t>
  </si>
  <si>
    <t>31.08.22, 37.03.01, 37.05.01, 44.03.02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</si>
  <si>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психологическим и медицинским специальностям (протокол № 1 от 20.01.2021)</t>
  </si>
  <si>
    <t>704979.09.01</t>
  </si>
  <si>
    <t>Немедикаментозные методы реабилитации: цветотерапия..: Моногр. / В.Н.Любчик. - М:ИНФРА-М,2026 - 182 с.(О)</t>
  </si>
  <si>
    <t>НЕМЕДИКАМЕНТОЗНЫЕ МЕТОДЫ РЕАБИЛИТАЦИИ: ЦВЕТОТЕРАПИЯ, МУЗЫКОТЕРАПИЯ, АЭРОФИТОТЕРАПИЯ С ЭФИРНЫМИ МАСЛАМИ РАСТЕНИЙ</t>
  </si>
  <si>
    <t>Любчик В.Н., Мирошниченко Н.В., Голубова Т.Ф.</t>
  </si>
  <si>
    <t>978-5-16-016728-2</t>
  </si>
  <si>
    <t>708997.08.01</t>
  </si>
  <si>
    <t>Неотложная помощь детям на догоспит.этапе: Уч.пос. / Л.А.Строзенко - 2 изд. - М.:НИЦ ИНФРА-М,2026 - 172 с.(П)</t>
  </si>
  <si>
    <t>НЕОТЛОЖНАЯ ПОМОЩЬ ДЕТЯМ НА ДОГОСПИТАЛЬНОМ ЭТАПЕ, ИЗД.2</t>
  </si>
  <si>
    <t>Строзенко Л.А., Лобанов Ю.Ф., Иванов И.В. и др.</t>
  </si>
  <si>
    <t>978-5-16-015511-1</t>
  </si>
  <si>
    <t>31.05.02</t>
  </si>
  <si>
    <t>Рекомендовано Межрегиональным учебно-методическим советом профессионального образования для использования в учебном процессе студентами высших учебных заведений, обучающихся по направлению подготовки 31.05.02 «Педиатрия» (квалификация «Врач-педиатр общей практики») (протокол № 12 от 24.06.2019)</t>
  </si>
  <si>
    <t>0219</t>
  </si>
  <si>
    <t>694869.07.01</t>
  </si>
  <si>
    <t>Неотложная помощь на догоспитальном этапе: Уч.пос. / Под ред. Лычева В.Г. - М.:НИЦ ИНФРА-М,2025. - 160 с.(ВО)(п)</t>
  </si>
  <si>
    <t>НЕОТЛОЖНАЯ ПОМОЩЬ НА ДОГОСПИТАЛЬНОМ ЭТАПЕ</t>
  </si>
  <si>
    <t>Лычев В.Г., Бабушкин И.Е., Андриенко А.В. и др.</t>
  </si>
  <si>
    <t>978-5-16-020849-7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</si>
  <si>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31.05.01 «Лечебное дело» (квалификация «врач общей практики»)</t>
  </si>
  <si>
    <t>288400.07.01</t>
  </si>
  <si>
    <t>Неотложная помощь при заболев. внутрен.орг.: Уч.пос. / Под ред. Ахмедова В.А. - М.:НИЦ ИНФРА-М,2023-137с(О)</t>
  </si>
  <si>
    <t>НЕОТЛОЖНАЯ ПОМОЩЬ ПРИ ЗАБОЛЕВАНИЯХ ВНУТРЕННИХ ОРГАНОВ</t>
  </si>
  <si>
    <t>Ахмедов В.А., Совалкин В.И., Викторова И.А. и др.</t>
  </si>
  <si>
    <t>978-5-16-013521-2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</si>
  <si>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студентов, обучающихся по специальности 31.05.01 «Лечебное дело»</t>
  </si>
  <si>
    <t>Омский государственный медицинский университет</t>
  </si>
  <si>
    <t>787966.04.01</t>
  </si>
  <si>
    <t>Неотложная помощь при кровотечениях в акушерстве: Моногр. / М.И.Неймарк-М.:НИЦ ИНФРА-М,2023.-207 с.(п)</t>
  </si>
  <si>
    <t>НЕОТЛОЖНАЯ ПОМОЩЬ ПРИ КРОВОТЕЧЕНИЯХ В АКУШЕРСТВЕ</t>
  </si>
  <si>
    <t>Неймарк М.И., Николаева М.Г.</t>
  </si>
  <si>
    <t>Научная мысль - АГМУ</t>
  </si>
  <si>
    <t>978-5-16-017973-5</t>
  </si>
  <si>
    <t>30.05.03, 31.05.01, 31.05.02, 31.06.01, 31.07.01, 31.08.01, 32.05.01</t>
  </si>
  <si>
    <t>433450.13.01</t>
  </si>
  <si>
    <t>Нестероидные противовоспалительные препар.: Практ. реком./Л.И. Дятчина - НИЦ ИНФРА-М, 2022-77с.+вкл. (О к/ф)</t>
  </si>
  <si>
    <t>НЕСТЕРОИДНЫЕ ПРОТИВОВОСПАЛИТЕЛЬНЫЕ ПРЕПАРАТЫ</t>
  </si>
  <si>
    <t>Дятчина Л. И., Ханов А. Г.</t>
  </si>
  <si>
    <t>978-5-16-006680-6</t>
  </si>
  <si>
    <t>31.05.01, 33.05.01</t>
  </si>
  <si>
    <t>Ростовский государственный медицинский университет</t>
  </si>
  <si>
    <t>808088.01.01</t>
  </si>
  <si>
    <t>Нормальная физиология: ситуац. задачи и..: Уч.пос. / В.Ф.Волков. - М.:НИЦ ИНФРА-М,2025. - 162 с.(ВО)(п)</t>
  </si>
  <si>
    <t>НОРМАЛЬНАЯ ФИЗИОЛОГИЯ: СИТУАЦИОННЫЕ ЗАДАЧИ И ЗАДАНИЯ</t>
  </si>
  <si>
    <t>Волков В.Ф., Булгакова Я.В., Семилетова В.А.</t>
  </si>
  <si>
    <t>978-5-16-020165-8</t>
  </si>
  <si>
    <t>31.05.01, 31.05.02, 31.05.03, 32.05.01, 34.03.01</t>
  </si>
  <si>
    <t>833495.02.01</t>
  </si>
  <si>
    <t>Обеспечение безопас. окруж. среды в мед. орг.: Уч.пос. / Е.Г.Усольцева - М.:НИЦ ИНФРА-М,2026. - 332 с.(СПО)(п)</t>
  </si>
  <si>
    <t>ОБЕСПЕЧЕНИЕ БЕЗОПАСНОЙ ОКРУЖАЮЩЕЙ СРЕДЫ В МЕДИЦИНСКОЙ ОРГАНИЗАЦИИ</t>
  </si>
  <si>
    <t>Усольцева Е.Г.</t>
  </si>
  <si>
    <t>978-5-16-020087-3</t>
  </si>
  <si>
    <t>34.02.01, 34.02.02</t>
  </si>
  <si>
    <t>Краснодарский краевой базовый медицинский колледж</t>
  </si>
  <si>
    <t>СПО-2024, Победитель, I место</t>
  </si>
  <si>
    <t>794840.01.01</t>
  </si>
  <si>
    <t>Обмен железа при ВИЧ-ассоциированных заболеваниях легких.../ Е.А.Бородулина-М.:НИЦ ИНФРА-М,2023.-155 с.(о)</t>
  </si>
  <si>
    <t>ОБМЕН ЖЕЛЕЗА ПРИ ВИЧ-АССОЦИИРОВАННЫХ ЗАБОЛЕВАНИЯХ ЛЕГКИХ - ДИССЕМИНИРОВАННОМ ТУБЕРКУЛЕЗЕ И ПНЕВМОЦИСТНОЙ ПНЕВМОНИИ</t>
  </si>
  <si>
    <t>Бородулина Е.А., Яковлева Е.В., Бородулин Б.Е.</t>
  </si>
  <si>
    <t>978-5-16-018227-8</t>
  </si>
  <si>
    <t>684820.02.01</t>
  </si>
  <si>
    <t>Обтурационная опухолевая толстокишечная непроход.: Моногр./ А.В.Пугаев-М.:НИЦ ИНФРА-М,2023-202 с.(П)</t>
  </si>
  <si>
    <t>ОБТУРАЦИОННАЯ ОПУХОЛЕВАЯ ТОЛСТОКИШЕЧНАЯ НЕПРОХОДИМОСТЬ</t>
  </si>
  <si>
    <t>Пугаев А.В., Ачкасов Е.Е.</t>
  </si>
  <si>
    <t>978-5-16-014222-7</t>
  </si>
  <si>
    <t>708977.09.01</t>
  </si>
  <si>
    <t>Общая физиотерапия: Уч.мет.пос. / Т.В.Кулишова - 2 изд. - М.:НИЦ ИНФРА-М,2026 - 131 с.(ВО)(П)</t>
  </si>
  <si>
    <t>ОБЩАЯ ФИЗИОТЕРАПИЯ, ИЗД.2</t>
  </si>
  <si>
    <t>Кулишова Т.В., Табашникова Н.А., Каркавина А.Н.</t>
  </si>
  <si>
    <t>978-5-16-021605-8</t>
  </si>
  <si>
    <t>31.05.01, 31.05.02, 31.05.03, 31.06.01, 31.08.50</t>
  </si>
  <si>
    <t>Рекомендовано Межрегиональным учебно-методическим советом профессионального образования для использования в учебном процессе в образовательных учреждениях, реализующих основные профессиональные образовательные программы высшего образования по направлениям подготовки специалитета 31.05.01 «Лечебное дело», 31.05.02 «Педиатрия», 32.05.01 «Медико-профилактическое дело», 31.05.03 «Стоматология» (протокол № 12 от 24.06.2019)</t>
  </si>
  <si>
    <t>785315.02.01</t>
  </si>
  <si>
    <t>Общая хирургия. Учебные игры: Уч.пос. / Под ред. Оскреткова В.И.-М.:НИЦ ИНФРА-М,2024.-196 с.(ВО)(п)</t>
  </si>
  <si>
    <t>ОБЩАЯ ХИРУРГИЯ. УЧЕБНЫЕ ИГРЫ</t>
  </si>
  <si>
    <t>Оскретков В.И., Цеймах Е.А., Масликова С.А. и др.</t>
  </si>
  <si>
    <t>978-5-16-017939-1</t>
  </si>
  <si>
    <t>АКАДЕМУС-2022, Победитель, I место</t>
  </si>
  <si>
    <t>078120.11.01</t>
  </si>
  <si>
    <t>Общая хирургия: Уч. пос. / Т.Д. Селезнева. - М.: РИОР, 2026. - 155 с. (о.к/ф)</t>
  </si>
  <si>
    <t>ОБЩАЯ ХИРУРГИЯ</t>
  </si>
  <si>
    <t>Селезнева Т. Д.</t>
  </si>
  <si>
    <t>Карманное учебное пособие</t>
  </si>
  <si>
    <t>5-369-00066-2</t>
  </si>
  <si>
    <t>730639.05.01</t>
  </si>
  <si>
    <t>Общественное здоровье и здравоохранение: Уч. / Н.М.Агарков - М.:НИЦ ИНФРА-М,2025 - 560 с(СПО)(П)</t>
  </si>
  <si>
    <t>ОБЩЕСТВЕННОЕ ЗДОРОВЬЕ И ЗДРАВООХРАНЕНИЕ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</si>
  <si>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</si>
  <si>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</si>
  <si>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</si>
  <si>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</si>
  <si>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708234.07.01</t>
  </si>
  <si>
    <t>Общественное здоровье и здравоохранение: Уч. / Н.М.Агарков. - М.:НИЦ ИНФРА-М,2025. - 560 с.(ВО)(П)</t>
  </si>
  <si>
    <t>978-5-16-015317-9</t>
  </si>
  <si>
    <t>31.05.01, 31.05.02, 31.08.71, 32.04.01, 32.05.01, 34.03.01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</si>
  <si>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и направлений 31.05.00 «Клиническая медицина» (протокол № 8 от 29.04.2019)</t>
  </si>
  <si>
    <t>711046.05.01</t>
  </si>
  <si>
    <t>Оздоровительное и спорт. плавание для людей.../ Под ред. Булгаковой Н.Ж. - М.:НИЦ ИНФРА-М,2026. - 313 с(О)</t>
  </si>
  <si>
    <t>ОЗДОРОВИТЕЛЬНОЕ И СПОРТИВНОЕ ПЛАВАНИЕ ДЛЯ ЛЮДЕЙ С ОГРАНИЧЕННЫМИ ВОЗМОЖНОСТЯМИ</t>
  </si>
  <si>
    <t>Булгакова Н.Ж., Морозов С.Н., Никитина С.М. и др.</t>
  </si>
  <si>
    <t>978-5-16-015465-7</t>
  </si>
  <si>
    <t>49.03.02, 49.04.02</t>
  </si>
  <si>
    <t>Российский университет спорта «ГЦОЛИФК»</t>
  </si>
  <si>
    <t>797834.02.01</t>
  </si>
  <si>
    <t>Оказание мед. помощи женщинам в период..,: Уч.пос. / Е.А.Нижегородцева-М.:НИЦ ИНФРА-М,2024.-336 с.(п)</t>
  </si>
  <si>
    <t>ОКАЗАНИЕ МЕДИЦИНСКОЙ ПОМОЩИ ЖЕНЩИНАМ В ПЕРИОД БЕРЕМЕННОСТИ, В РОДАХ, ПОСЛЕРОДОВОМ ПЕРИОДЕ И У ЖЕНЩИН С РАСПРОСТРАНЕННЫМИ ГИНЕКОЛОГИЧЕСКИМИ ЗАБОЛЕВАНИЯ</t>
  </si>
  <si>
    <t>Нижегородцева Е.А.</t>
  </si>
  <si>
    <t>978-5-16-018223-0</t>
  </si>
  <si>
    <t>31.02.01, 31.02.02, 34.02.01, 34.02.02</t>
  </si>
  <si>
    <t>Иркутский базовый  медицинский колледж</t>
  </si>
  <si>
    <t>СПО-2022, Победитель, I место</t>
  </si>
  <si>
    <t>304500.09.01</t>
  </si>
  <si>
    <t>Оказание неотложной помощи в терапии: Уч.пос. / Г.Д.Тобулток - М.:НИЦ ИНФРА-М,2026. - 400 с.(СПО)(п)</t>
  </si>
  <si>
    <t>ОКАЗАНИЕ НЕОТЛОЖНОЙ ПОМОЩИ В ТЕРАПИИ</t>
  </si>
  <si>
    <t>Тобулток Г.Д., Иванова Н.А.</t>
  </si>
  <si>
    <t>978-5-16-016860-9</t>
  </si>
  <si>
    <t>31.02.01, 31.02.02, 32.02.01, 34.02.01, 34.02.02</t>
  </si>
  <si>
    <t>Рязанский медицинский колледж</t>
  </si>
  <si>
    <t>682691.06.01</t>
  </si>
  <si>
    <t>Организация помощи по направ. физ. и реабилитац. мед. / Г.Н.Пономаренко - 2 изд. - М.:НИЦ ИНФРА-М,2026 - 245 с.(п)</t>
  </si>
  <si>
    <t>ОРГАНИЗАЦИЯ ПОМОЩИ ПО НАПРАВЛЕНИЯМ ФИЗИЧЕСКОЙ И РЕАБИЛИТАЦИОННОЙ МЕДИЦИНЫ, ИЗД.2</t>
  </si>
  <si>
    <t>Пономаренко Г.Н., Лавриненко И.А., Исаева А.С. и др.</t>
  </si>
  <si>
    <t>978-5-16-019726-5</t>
  </si>
  <si>
    <t>31.02.01, 31.02.02, 31.05.01, 31.05.02, 34.02.01, 34.02.02, 49.03.03</t>
  </si>
  <si>
    <t>Федеральный научный центр реабилитации инвалидов им. Г.А. Альбрехта</t>
  </si>
  <si>
    <t>682691.03.01</t>
  </si>
  <si>
    <t>Организация помощи по направл. физ. и реаб. мед.: Практ. рук./Под ред. Пономаренко Г.Н.-М.:НИЦ ИНФРА-М,2022-234с.(П)</t>
  </si>
  <si>
    <t>ОРГАНИЗАЦИЯ ПОМОЩИ ПО НАПРАВЛЕНИЯМ ФИЗИЧЕСКОЙ И РЕАБИЛИТАЦИОННОЙ МЕДИЦИНЫ</t>
  </si>
  <si>
    <t>978-5-16-014520-4</t>
  </si>
  <si>
    <t>401900.11.01</t>
  </si>
  <si>
    <t>Организация, оценка эффект. и результат. оказ..: Моногр. / М.И.Гадаборшев - М.:НИЦ ИНФРА-М,2026 - 424 с.(п)</t>
  </si>
  <si>
    <t>ОРГАНИЗАЦИЯ, ОЦЕНКА ЭФФЕКТИВНОСТИ И РЕЗУЛЬТАТИВНОСТИ ОКАЗАНИЯ МЕДИЦИНСКОЙ ПОМОЩИ</t>
  </si>
  <si>
    <t>Гадаборшев М. И., Левкевич М. М., Рудлицкая Н. В.</t>
  </si>
  <si>
    <t>978-5-16-006315-7</t>
  </si>
  <si>
    <t>31.02.01, 31.05.01, 31.05.02, 32.05.01</t>
  </si>
  <si>
    <t>Кубанский государственный аграрный университет им. И.Т. Трубилина</t>
  </si>
  <si>
    <t>446450.10.01</t>
  </si>
  <si>
    <t>Осложнения фармакотерапии: Прак. рук. / В.В.Косарев -  М.: НИЦ ИНФРА-М, 2026 - 188 с.(Клинич. практ.)(о)</t>
  </si>
  <si>
    <t>ОСЛОЖНЕНИЯ ФАРМАКОТЕРАПИИ</t>
  </si>
  <si>
    <t>978-5-16-009003-0</t>
  </si>
  <si>
    <t>Профессиональное образование / ВО - Кадры высшей квалификации / Ординатура</t>
  </si>
  <si>
    <t>33.05.01</t>
  </si>
  <si>
    <t>860017.01.01</t>
  </si>
  <si>
    <t>Основы биохимии патолог. процессов: Уч.пос. на англ.яз./ А.Н.Коваль. - М.:НИЦ ИНФРА-М, ГомГМУ, 2026. -127 с.(п)</t>
  </si>
  <si>
    <t>ОСНОВЫ БИОХИМИИ ПАТОЛОГИЧЕСКИХ ПРОЦЕССОВ = FUNDAMENTALS OF BIOCHEMISTRY OF PATHOLOGICAL PROCESSES</t>
  </si>
  <si>
    <t>Коваль А.Н., Мазаник М.Е., Логвинович О.С. и др.</t>
  </si>
  <si>
    <t>978-5-16-021300-2</t>
  </si>
  <si>
    <t>18.04.01, 31.05.01, 32.05.01, 33.05.01, 34.03.01</t>
  </si>
  <si>
    <t>640122.07.01</t>
  </si>
  <si>
    <t>Основы гистологии: Уч. / В.В.Яглов - М.:НИЦ ИНФРА-М,2025 - 634 с.-(ВО: Специалитет)(П)</t>
  </si>
  <si>
    <t>ОСНОВЫ ГИСТОЛОГИИ</t>
  </si>
  <si>
    <t>Яглов В.В., Яглова Н.В.</t>
  </si>
  <si>
    <t>978-5-16-012281-6</t>
  </si>
  <si>
    <t>06.03.01, 31.05.01, 31.05.02, 32.05.01</t>
  </si>
  <si>
    <t>Рекомендовано в качестве учебника для студентов высших учебных заведений, обучающихся по направлениям подготовки 31.05.01 «Лечебное дело», 31.05.02 «Педиатрия», 32.05.01 «Медико-профилактическое дело» (квалификация «врач (врач-педиатр) общей практики; врач по общей гигиене, по эпидемиологии»)</t>
  </si>
  <si>
    <t>Научно-исследовательский институт морфологии человека</t>
  </si>
  <si>
    <t>412250.14.01</t>
  </si>
  <si>
    <t>Основы клинического диагноза при забол. внутр. орг.: Уч.пос. / В.А.Ахмедов - М:НИЦ ИНФРА-М,2026 - 173 с.(ВО) (п)</t>
  </si>
  <si>
    <t>ОСНОВЫ КЛИНИЧЕСКОГО ДИАГНОЗА ПРИ ЗАБОЛЕВАНИЯХ ВНУТРЕННИХ ОРГАНОВ</t>
  </si>
  <si>
    <t>Ахмедов В. А., Винжегина В. А., Галютин С. Г., Ахмедов В. А.</t>
  </si>
  <si>
    <t>978-5-16-006461-1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</si>
  <si>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студентов, обучающихся по специальности 06010I 65 - Лечебное дело</t>
  </si>
  <si>
    <t>694872.05.01</t>
  </si>
  <si>
    <t>Основы клинической ревматологии: Уч.пос. / Под ред. Лычева В.Г.-М.:НИЦ ИНФРА-М,2023-196 с(ВО)(П)</t>
  </si>
  <si>
    <t>ОСНОВЫ КЛИНИЧЕСКОЙ РЕВМАТОЛОГИИ</t>
  </si>
  <si>
    <t>978-5-16-016125-9</t>
  </si>
  <si>
    <t>31.05.01, 31.05.03</t>
  </si>
  <si>
    <t>844804.01.01</t>
  </si>
  <si>
    <t>Основы микробиологии, иммунологии, инфектологии...: Уч. / В.А.Земскова - М.:НИЦ ИНФРА-М,2026. - 298 с.(СПО)(п)</t>
  </si>
  <si>
    <t>ОСНОВЫ МИКРОБИОЛОГИИ, ИММУНОЛОГИИ, ИНФЕКТОЛОГИИ ДЛЯ МЕДИЦИНСКОЙ СЕСТРЫ</t>
  </si>
  <si>
    <t>Земсков А.М., Земскова В.А., Самодурова Н.Ю. и др.</t>
  </si>
  <si>
    <t>978-5-16-020769-8</t>
  </si>
  <si>
    <t>31.02.01, 31.02.02, 31.02.06, 32.02.01, 33.02.01, 34.02.01, 42.02.12, 43.02.04</t>
  </si>
  <si>
    <t>Октябрь, 2025</t>
  </si>
  <si>
    <t>742746.04.01</t>
  </si>
  <si>
    <t>Основы патологии: Уч. / А.И.Тюкавин - М.:НИЦ ИНФРА-М,2025. - 344 с.(СПО)(п)</t>
  </si>
  <si>
    <t>ОСНОВЫ ПАТОЛОГИИ</t>
  </si>
  <si>
    <t>Тюкавин А.И.</t>
  </si>
  <si>
    <t>978-5-16-016832-6</t>
  </si>
  <si>
    <t>31.02.01, 31.02.02, 31.02.03, 32.02.01, 33.02.01, 34.02.01, 44.02.04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</si>
  <si>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</si>
  <si>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657345.08.01</t>
  </si>
  <si>
    <t>Основы патопсихологии: Уч. / А.П.Бизюк - 2 изд. - М.:НИЦ ИНФРА-М,2026 - 660 с.-(ВО)(п)</t>
  </si>
  <si>
    <t>ОСНОВЫ ПАТОПСИХОЛОГИИ, ИЗД.2</t>
  </si>
  <si>
    <t>978-5-16-018602-3</t>
  </si>
  <si>
    <t>ГУМАНИТАРНЫЕ НАУКИ. РЕЛИГИЯ. ИСКУССТВО</t>
  </si>
  <si>
    <t>Психология</t>
  </si>
  <si>
    <t>37.03.01, 44.03.01, 44.03.02, 44.03.03, 44.03.04, 44.03.05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</si>
  <si>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укрупненным группам специальностей и направлений подготовки 37.03.00 «Психологические науки», 44.03.00 «Образование и педагогические науки» (квалификация (степень) «бакалавр») (протокол № 8 от 22.06.2020)</t>
  </si>
  <si>
    <t>749782.04.01</t>
  </si>
  <si>
    <t>Основы патопсихологии: Уч./ А.П.Бизюк, - 2 изд. - М.:НИЦ ИНФРА-М,2025. - 660 с.(ВО: Специалитет)(П)</t>
  </si>
  <si>
    <t>978-5-16-016701-5</t>
  </si>
  <si>
    <t>31.05.01, 31.06.01, 37.05.01, 37.05.02, 40.05.03, 44.05.01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</si>
  <si>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укрупненным направлениям подготовки 37.05.00 «Психологические науки» (квалификация (степень) «клинический психолог») (протокол № 8 от 22.06.2020)</t>
  </si>
  <si>
    <t>ПО5</t>
  </si>
  <si>
    <t>849539.01.01</t>
  </si>
  <si>
    <t>Основы персонализир. биомедицины и биофармации: Уч. / Под ред. Тюкавин А.И. - М.:НИЦ ИНФРА-М,2025. - 460 с.(ВО)(п)</t>
  </si>
  <si>
    <t>ОСНОВЫ ПЕРСОНАЛИЗИРОВАННОЙ БИОМЕДИЦИНЫ И БИОФАРМАЦИИ</t>
  </si>
  <si>
    <t>Тюкавин А.И., Салль Т.С., Орлов С.В. и др.</t>
  </si>
  <si>
    <t>978-5-16-020841-1</t>
  </si>
  <si>
    <t>18.04.01, 30.05.03</t>
  </si>
  <si>
    <t>670834.03.01</t>
  </si>
  <si>
    <t>Основы профилактики в дерматовенерологии: Уч.пос. / М.Н.Гаджимурадов-М.:НИЦ ИНФРА-М,2023.-96с(О)</t>
  </si>
  <si>
    <t>ОСНОВЫ ПРОФИЛАКТИКИ В ДЕРМАТОВЕНЕРОЛОГИИ</t>
  </si>
  <si>
    <t>Гаджимурадов М.Н.</t>
  </si>
  <si>
    <t>978-5-16-013514-4</t>
  </si>
  <si>
    <t>31.05.01, 31.05.02, 31.05.03, 31.08.32, 32.05.01, 33.05.01</t>
  </si>
  <si>
    <t>Рекомендовано в качестве учебного пособия для студентов высших учебных заведений, обучающихся по специальности 32.05.01 «Медико-профилактическое дело» (квалификация «врач по общей гигиене»)</t>
  </si>
  <si>
    <t>817829.01.01</t>
  </si>
  <si>
    <t>Основы санитарно-гигиенического просвещения: Уч.пос. / В.Д.Дорофеев - М.:НИЦ ИНФРА-М,2024. - 335 с.(ВО)(п)</t>
  </si>
  <si>
    <t>ОСНОВЫ САНИТАРНО-ГИГИЕНИЧЕСКОГО ПРОСВЕЩЕНИЯ</t>
  </si>
  <si>
    <t>Дорофеев В.Д.</t>
  </si>
  <si>
    <t>978-5-16-019534-6</t>
  </si>
  <si>
    <t>31.05.01, 31.05.02, 31.05.03, 32.04.01, 32.05.01</t>
  </si>
  <si>
    <t>736724.02.01</t>
  </si>
  <si>
    <t>Основы социальной медицины: Уч.пос. / Г.П.Артюнина - М.:НИЦ ИНФРА-М,2025 - 359 с.-(СПО)(П)</t>
  </si>
  <si>
    <t>ОСНОВЫ СОЦИАЛЬНОЙ МЕДИЦИНЫ</t>
  </si>
  <si>
    <t>Артюнина Г.П., Иванова Н.В.</t>
  </si>
  <si>
    <t>978-5-16-016264-5</t>
  </si>
  <si>
    <t>31.02.01, 39.02.01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</si>
  <si>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</si>
  <si>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</si>
  <si>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437300.08.01</t>
  </si>
  <si>
    <t>Основы социальной медицины: Уч.пос. / Г.П.Артюнина - М.:Форум, НИЦ ИНФРА-М,2024 - 360 с.(ВО)(П)</t>
  </si>
  <si>
    <t>АртюнинаГ.П., ИвановаН.В.</t>
  </si>
  <si>
    <t>978-5-00091-132-7</t>
  </si>
  <si>
    <t>31.05.01, 34.03.01, 37.03.01, 39.03.02</t>
  </si>
  <si>
    <t>Допущено Учебно-методическим объединением по направлениям медицинского и гуманитарного образования Министерства образования Российской Федерации в качестве учебного пособия для студентов медицинских и гуманитарных вузов</t>
  </si>
  <si>
    <t>242400.11.01</t>
  </si>
  <si>
    <t>Основы токсикологии: Уч.пос. / П.П.Кукин и др. - М.:НИЦ ИНФРА-М,2025 - 280 с.(ВО)(П))</t>
  </si>
  <si>
    <t>ОСНОВЫ ТОКСИКОЛОГИИ</t>
  </si>
  <si>
    <t>Кукин П.П., Пономарев Н.Л., Таранцева К.Р. и др.</t>
  </si>
  <si>
    <t>978-5-16-009260-7</t>
  </si>
  <si>
    <t>20.03.01, 20.04.01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</si>
  <si>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подготовки 20.03.01 «Техносферная безопасность»</t>
  </si>
  <si>
    <t>415850.12.01</t>
  </si>
  <si>
    <t>Основы физиологии и анатомии человека..: Уч. пос. / С.В.Степанова - М.: НИЦ ИНФРА-М, 2025 - 205 с.(ВО) (п)</t>
  </si>
  <si>
    <t>ОСНОВЫ ФИЗИОЛОГИИ И АНАТОМИИ ЧЕЛОВЕКА. ПРОФЕССИОНАЛЬНЫЕ ЗАБОЛЕВАНИЯ</t>
  </si>
  <si>
    <t>Степанова С. В., Гармонов С. Ю.</t>
  </si>
  <si>
    <t>978-5-16-005326-4</t>
  </si>
  <si>
    <t>20.03.01, 20.04.01, 44.03.05</t>
  </si>
  <si>
    <t>Рекомендовано Федеральным государственным бюджетным образовательным учреждением высшего профессионального образования «Московский государственный университет природообустройства» к использованию в качестве учебного пособия для студентов, обучающихся</t>
  </si>
  <si>
    <t>806084.01.01</t>
  </si>
  <si>
    <t>Особенности гелотофобии (страха насмешки)...: Моногр. / Д.А.Шуненков.-М.:НИЦ ИНФРА-М,2023.-207 с.(п)</t>
  </si>
  <si>
    <t>ОСОБЕННОСТИ ГЕЛОТОФОБИИ (СТРАХА НАСМЕШКИ) ПРИ ПСИХИЧЕСКИХ РАССТРОЙСТВАХ НЕВРОТИЧЕСКОГО УРОВНЯ</t>
  </si>
  <si>
    <t>Шуненков Д.А., Худяков А.В., Иванова Е.М.</t>
  </si>
  <si>
    <t>978-5-16-018814-0</t>
  </si>
  <si>
    <t>30.05.01, 30.05.02, 30.05.03, 31.05.02, 31.06.01, 31.07.01, 31.08.20, 31.08.22, 32.05.01, 37.03.01, 37.05.01, 37.05.02, 44.05.01</t>
  </si>
  <si>
    <t>Психиатрическая клиническая больница №1 им.Н.А.Алексеева</t>
  </si>
  <si>
    <t>239800.09.01</t>
  </si>
  <si>
    <t>Острые заболевания яичка у детей: Практ. рук. / Ю.Н. Болотов - М.: НИЦ ИНФРА-М, 2025. - 107 с.(О)</t>
  </si>
  <si>
    <t>ОСТРЫЕ ЗАБОЛЕВАНИЯ ЯИЧКА У ДЕТЕЙ</t>
  </si>
  <si>
    <t>Болотов Ю. Н., Минаев С. В.</t>
  </si>
  <si>
    <t>978-5-16-009225-6</t>
  </si>
  <si>
    <t>31.05.02, 31.06.01, 31.07.01, 31.08.15, 31.08.19</t>
  </si>
  <si>
    <t>694252.03.01</t>
  </si>
  <si>
    <t>Острый аппендицит: клиника, диагностика, лечение: Уч.пос. / Под ред. Ачкасова Е.Е.-М.:НИЦ ИНФРА-М,2023-207с.(ВО)(п)</t>
  </si>
  <si>
    <t>ОСТРЫЙ АППЕНДИЦИТ: КЛИНИКА, ДИАГНОСТИКА, ЛЕЧЕНИЕ</t>
  </si>
  <si>
    <t>Ачкасов Е.Е., Забелин М.В., Посудневский В.И. и др.</t>
  </si>
  <si>
    <t>978-5-16-014643-0</t>
  </si>
  <si>
    <t>31.05.01, 31.06.01, 31.08.67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</si>
  <si>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по направлениям подготовки специалитета 31.05.01 «Лечебное дело», 31.05.02 «Педиатрия», 32.05.01 «Медико-профилактическое дело», 31.05.03 «Стоматология»</t>
  </si>
  <si>
    <t>684819.04.01</t>
  </si>
  <si>
    <t>Острый аппендицит: Моногр. / А.В.Пугаев - М.:НИЦ ИНФРА-М,2025 - 191 с.:цв.ил.-(Науч.мысль)(П)</t>
  </si>
  <si>
    <t>ОСТРЫЙ АППЕНДИЦИТ</t>
  </si>
  <si>
    <t>978-5-16-014341-5</t>
  </si>
  <si>
    <t>696455.01.01</t>
  </si>
  <si>
    <t>Острый панкреатит: клиника, диагностика...: Уч.пос. / Е.Е.Ачкасов - М.:НИЦ ИНФРА-М,2020-269 с.(ВО(П)</t>
  </si>
  <si>
    <t>ОСТРЫЙ ПАНКРЕАТИТ: КЛИНИКА, ДИАГНОСТИКА, ЛЕЧЕНИЕ</t>
  </si>
  <si>
    <t>Ачкасов Е.Е., Пугаев А.В., Забелин М.В. и др.</t>
  </si>
  <si>
    <t>978-5-16-014641-6</t>
  </si>
  <si>
    <t>31.05.01, 31.06.01, 31.08.28, 31.08.67</t>
  </si>
  <si>
    <t>684815.06.01</t>
  </si>
  <si>
    <t>Острый панкреатит: Моногр. / А.В.Пугаев - М.:НИЦ ИНФРА-М,2025. - 263 с.(Науч.мысль)(п)</t>
  </si>
  <si>
    <t>ОСТРЫЙ ПАНКРЕАТИТ</t>
  </si>
  <si>
    <t>978-5-16-014261-6</t>
  </si>
  <si>
    <t>632395.05.01</t>
  </si>
  <si>
    <t>Охрана репродукт.здоровья и план.семьи: Уч. / Под ред. Сивочаловой О.В. - М.:НИЦ ИНФРА-М,2026 - 328 с.(П)</t>
  </si>
  <si>
    <t>ОХРАНА РЕПРОДУКТИВНОГО ЗДОРОВЬЯ И ПЛАНИРОВАНИЕ СЕМЬИ</t>
  </si>
  <si>
    <t>Сивочалова О.В., Линева О.И., Фесенко М.А. и др.</t>
  </si>
  <si>
    <t>978-5-16-011989-2</t>
  </si>
  <si>
    <t>31.02.01, 31.02.02, 34.02.01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</si>
  <si>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</si>
  <si>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</si>
  <si>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СПО-2018, Победитель</t>
  </si>
  <si>
    <t>859404.01.01</t>
  </si>
  <si>
    <t>Оценка ответной реакции скелетной мускулатуры на..: Моногр. / Е.М.Кильдюшов.-М.:Юр. НОРМА,2025.-98 с.(о)</t>
  </si>
  <si>
    <t>ОЦЕНКА ОТВЕТНОЙ РЕАКЦИИ СКЕЛЕТНОЙ МУСКУЛАТУРЫ НА МЕХАНИЧЕСКОЕ РАЗДРАЖЕНИЕ ПРИ ОПРЕДЕЛЕНИИ ДАВНОСТИ НАСТУПЛЕНИЯ СМЕРТИ ДЕТЕЙ</t>
  </si>
  <si>
    <t>Кильдюшов Е.М., Туманов Э.В., Услонцев Д.Н.</t>
  </si>
  <si>
    <t>Юр. НОРМА</t>
  </si>
  <si>
    <t>978-5-00156-444-7</t>
  </si>
  <si>
    <t>31.05.01, 31.05.02, 31.05.03, 40.05.01, 40.05.02, 40.05.03, 40.05.04, 40.06.01</t>
  </si>
  <si>
    <t>313900.10.01</t>
  </si>
  <si>
    <t>Патологическая физиология: Уч. / С.О.Берсудский - М.:НИЦ ИНФРА-М,2025 - 639 с.(ВО:Спец.)(П)</t>
  </si>
  <si>
    <t>ПАТОЛОГИЧЕСКАЯ ФИЗИОЛОГИЯ</t>
  </si>
  <si>
    <t>Берсудский С.О., Маслякова Г.Н., Моргунова В.М. и др.</t>
  </si>
  <si>
    <t>978-5-16-010361-7</t>
  </si>
  <si>
    <t>31.05.03, 31.08.72, 31.08.73, 31.08.74, 31.08.75, 31.08.76</t>
  </si>
  <si>
    <t>Рекомендовано ФГБОУ ВО «Первый Московский государственный медицинский университет им. И.М. Сеченова» в качестве учебника для студентов образовательных учреждений высшего профессионального образования, обучающихся по направлению подготовки 31.05.03 «Стоматология» по дисциплине «Патофизиология-патология головы и шеи»</t>
  </si>
  <si>
    <t>734728.06.01</t>
  </si>
  <si>
    <t>Патология: Уч. / Под ред. Тюкавина А.И. - М.:НИЦ ИНФРА-М,2023 - 844 с.-(ВО: Специалитет)(П)</t>
  </si>
  <si>
    <t>ПАТОЛОГИЯ</t>
  </si>
  <si>
    <t>Тюкавин А.И., Васильев А.Г., Власов Т.Д. и др.</t>
  </si>
  <si>
    <t>978-5-16-016260-7</t>
  </si>
  <si>
    <t>31.05.01, 33.05.01, 34.03.01, 49.03.02</t>
  </si>
  <si>
    <t>706977.02.01</t>
  </si>
  <si>
    <t>Патоморфологический и молекулярно-биологич. анализ... / Т.М.Черданцева.-М.:НИЦ ИНФРА-М,2023-230с(П)</t>
  </si>
  <si>
    <t>ПАТОМОРФОЛОГИЧЕСКИЙ И МОЛЕКУЛЯРНО-БИОЛОГИЧЕСКИЙ АНАЛИЗ ПОЧЕЧНО-КЛЕТОЧНОГО РАКА. ДИАГНОСТИКА И ПРОГНОЗ</t>
  </si>
  <si>
    <t>Черданцева Т.М., Климачев В.В., Бобров И.П. и др.</t>
  </si>
  <si>
    <t>978-5-16-015251-6</t>
  </si>
  <si>
    <t>31.05.01, 31.06.01, 31.07.01, 31.08.57</t>
  </si>
  <si>
    <t>632405.07.01</t>
  </si>
  <si>
    <t>Патопсихология  общественной безопасности: Уч.пос. / Б.Н.Алмазов - М.:НИЦ ИНФРА-М,2025. - 219 с.(ВО)(П)</t>
  </si>
  <si>
    <t>ПАТОПСИХОЛОГИЯ  ОБЩЕСТВЕННОЙ БЕЗОПАСНОСТИ</t>
  </si>
  <si>
    <t>Алмазов Б.Н.</t>
  </si>
  <si>
    <t>978-5-16-020544-1</t>
  </si>
  <si>
    <t>37.03.01, 37.05.01, 40.03.01, 40.04.01, 40.05.01, 44.03.05</t>
  </si>
  <si>
    <t>Рекомендовано в качестве учебного пособия для студентов высших учебных заведений, обучающихся по направлениям подготовки 40.05.01 «Правовое обеспечение национальной безопасности», 40.05.02 «Правоохранительная деятельность», 40.05.03 «Судебная экспертиза» (квалификация «юрист», «судебный эксперт»)</t>
  </si>
  <si>
    <t>Уральский государственный юридический университет имени В.Ф. Яковлева</t>
  </si>
  <si>
    <t>832383.01.01</t>
  </si>
  <si>
    <t>Патофизиология системы крови: Уч.мет.пос. / И.В.Вуевская. - М.:НИЦ ИНФРА-М, ГомГМУ,2025. - 228 с.(ВО)(п)</t>
  </si>
  <si>
    <t>ПАТОФИЗИОЛОГИЯ СИСТЕМЫ КРОВИ</t>
  </si>
  <si>
    <t>Вуевская И.В., Кидун К.А., Литвиненко А.Н. и др.</t>
  </si>
  <si>
    <t>978-5-16-020102-3</t>
  </si>
  <si>
    <t>Рекомендовано учебно-методическим объединением по высшему медицинскому, фармацевтическому образованию в качестве учебно-методического пособия для студентов учреждений высшего образования, обучающихся по специальностям «Лечебное дело», «Медико-профилактическое дело», «Медико-диагностическое дело»</t>
  </si>
  <si>
    <t>713843.05.01</t>
  </si>
  <si>
    <t>Педиатрия: именные симптомы и синдромы: Рук. для врачей / Балыкова Л.А.-М.:НИЦ ИНФРА-М,2024.-1088с.(ВО)(П)</t>
  </si>
  <si>
    <t>ПЕДИАТРИЯ: ИМЕННЫЕ СИМПТОМЫ И СИНДРОМЫ</t>
  </si>
  <si>
    <t>Акашкина Е.Ю., Балашова Е.А., Балыкова Л.А. и др.</t>
  </si>
  <si>
    <t>978-5-16-015563-0</t>
  </si>
  <si>
    <t>Руководство для врачей</t>
  </si>
  <si>
    <t>Национальный исследовательский Мордовский государственный университет им. Н.П. Огарева</t>
  </si>
  <si>
    <t>838552.01.01</t>
  </si>
  <si>
    <t>Пептидология, пептидомика и пептидная мед.: Уч.пос. / Ю.В.Быков - М.:ИЦ РИОР, НИЦ ИНФРА-М,2025.-116 с.(ВО)(о)</t>
  </si>
  <si>
    <t>ПЕПТИДОЛОГИЯ, ПЕПТИДОМИКА И ПЕПТИДНАЯ МЕДИЦИНА</t>
  </si>
  <si>
    <t>Быков Ю.В., Григорьев М.Э., Беккер Р.А.</t>
  </si>
  <si>
    <t>978-5-369-01966-5</t>
  </si>
  <si>
    <t>31.05.01, 32.05.01, 33.05.01, 36.05.01</t>
  </si>
  <si>
    <t>487550.14.01</t>
  </si>
  <si>
    <t>Первичная доврачебная мед. помощь: Уч.пос. / В.Г.Лычев - М.:Форум, НИЦ ИНФРА-М,2025 - 288 с.(СПО)(П)</t>
  </si>
  <si>
    <t>ПЕРВИЧНАЯ ДОВРАЧЕБНАЯ МЕДИЦИНСКАЯ ПОМОЩЬ</t>
  </si>
  <si>
    <t>978-5-00091-754-1</t>
  </si>
  <si>
    <t>31.02.01, 31.02.02, 31.02.05, 31.02.06, 32.02.01, 33.02.01, 34.02.01, 34.02.02</t>
  </si>
  <si>
    <t>791862.03.01</t>
  </si>
  <si>
    <t>Повреждения опорно-двигат. аппарата от перегрузк...: Моногр. / О.С.Васильев. - М.:НИЦ ИНФРА-М,2026. - 299 с.(п)</t>
  </si>
  <si>
    <t>ПОВРЕЖДЕНИЯ ОПОРНО-ДВИГАТЕЛЬНОГО АППАРАТА ОТ ПЕРЕГРУЗКИ В БАЛЕТНОЙ И СПОРТИВНОЙ МЕДИЦИНЕ</t>
  </si>
  <si>
    <t>Васильев О.С., Ачкасов Е.Е., Левушкин С.П.</t>
  </si>
  <si>
    <t>978-5-16-018247-6</t>
  </si>
  <si>
    <t>31.05.01, 31.06.01, 31.07.01, 31.08.66, 49.04.01, 49.04.03, 49.06.01, 49.07.01</t>
  </si>
  <si>
    <t>АКАДЕМУС-2022, Победитель, II место</t>
  </si>
  <si>
    <t>657636.05.01</t>
  </si>
  <si>
    <t>Поликлиническая терапия: Уч.мет.пос. 5 курс. /  Т.Т.Карманова - М.:Форум,НИЦ ИНФРА-М,2023 - 623с.(П)</t>
  </si>
  <si>
    <t>ПОЛИКЛИНИЧЕСКАЯ ТЕРАПИЯ:УЧЕБНО-МЕТОДИЧЕСКОЙ ПОСОБИЕ ДЛЯ САМОСТОЯТЕЛЬНОЙ РАБОТЫ СТУДЕНТОВ 5 КУРСА ЛЕЧЕБНОГО ФАКУЛЬТЕТА</t>
  </si>
  <si>
    <t>Карманова Т.Т., Бабушкин И.Е., Лычев В.Г.</t>
  </si>
  <si>
    <t>978-5-00091-446-5</t>
  </si>
  <si>
    <t>Рекомендовано Координационным советом по области образования «Здравоохранение и медицинские науки» в качестве учебно-методического пособия для использования в образовательных учреждениях, реализующих программы высшего образования по специальности 31.05.01 «Лечебное дело» по дисциплине «Поликлиническая терапия»</t>
  </si>
  <si>
    <t>657637.04.01</t>
  </si>
  <si>
    <t>Поликлиническая терапия: Уч.мет.пос. 6 курс /  Т.Т. Карманова - М.:ФОРУМ, ИНФРА-М,2024-628 с.(П)</t>
  </si>
  <si>
    <t>ПОЛИКЛИНИЧЕСКАЯ ТЕРАПИЯ: УЧЕБНО-МЕТОДИЧЕСКОЕ ПОСОБИЕ ДЛЯ САМОСТОЯТЕЛЬНОЙ РАБОТЫ СТУДЕНТОВ 6 КУРСА ЛЕЧЕБНОГО ФАКУЛЬТЕТА</t>
  </si>
  <si>
    <t>978-5-00091-445-8</t>
  </si>
  <si>
    <t>Рекомендовано Координационным советом по области образования «Здравоохранение и медицинские науки» в качестве учебно-методического пособия для высшего образования по специальности 31.05.01 «Лечебное дело» по дисциплине «Поликлиническая терапия»</t>
  </si>
  <si>
    <t>632541.04.01</t>
  </si>
  <si>
    <t>Преобразование измерительных сигналов: Уч. / С.В.Нефедов - М.:КУРС, НИЦ ИНФРА-М,2025 - 224 с.(ВО)(П)</t>
  </si>
  <si>
    <t>ПРЕОБРАЗОВАНИЕ ИЗМЕРИТЕЛЬНЫХ СИГНАЛОВ</t>
  </si>
  <si>
    <t>Нефедов С.В., Тарасенко А.П., Чернова В.М.</t>
  </si>
  <si>
    <t>978-5-906923-41-7</t>
  </si>
  <si>
    <t>12.03.01</t>
  </si>
  <si>
    <t>Московский политехнический университет</t>
  </si>
  <si>
    <t>436950.07.01</t>
  </si>
  <si>
    <t>Приборостроение. Введение в специальность: Уч. пос. / Б.Ю. Каплан. - М.: ИНФРА-М, 2025. - 112 с. (ВО) (о)</t>
  </si>
  <si>
    <t>ПРИБОРОСТРОЕНИЕ. ВВЕДЕНИЕ В СПЕЦИАЛЬНОСТЬ</t>
  </si>
  <si>
    <t>Каплан Б. Ю.</t>
  </si>
  <si>
    <t>978-5-16-006719-3</t>
  </si>
  <si>
    <t>12.03.01, 12.04.01</t>
  </si>
  <si>
    <t>Рекомендовано Учебно-методическим объединением вузов Российской Федерации по образованию в области приборостроения и оптотехники для студентов высших учебных заведений, обучающихся по направлению подготовки бакалавриата 200100 - Приборостроение</t>
  </si>
  <si>
    <t>Московский институт электронной техники</t>
  </si>
  <si>
    <t>801686.01.01</t>
  </si>
  <si>
    <t>Применение неодимового лазера в хирург. стоматологии: моногр. / Е.А.Морозова и др. - М.:НИЦ ИНФРА-М,2024.-164 с.-(Науч.мысль)(п)</t>
  </si>
  <si>
    <t>ПРИМЕНЕНИЕ НЕОДИМОВОГО ЛАЗЕРА В ХИРУРГИЧЕСКОЙ СТОМАТОЛОГИИ</t>
  </si>
  <si>
    <t>Морозова Е.А., Тарасенко С.В., Тарасенко И.В.</t>
  </si>
  <si>
    <t>978-5-16-019682-4</t>
  </si>
  <si>
    <t>31.05.03, 31.08.74</t>
  </si>
  <si>
    <t>АКАДЕМУС-2023, Победитель, III место</t>
  </si>
  <si>
    <t>776547.04.01</t>
  </si>
  <si>
    <t>Применение ядерных и радиац. технологий в медицине: Уч. / Ю.Н.Анохин - М.:НИЦ ИНФРА-М,2025. - 233 с.(ВО)(П)</t>
  </si>
  <si>
    <t>ПРИМЕНЕНИЕ ЯДЕРНЫХ И РАДИАЦИОННЫХ ТЕХНОЛОГИЙ В МЕДИЦИНЕ</t>
  </si>
  <si>
    <t>Анохин Ю.Н.</t>
  </si>
  <si>
    <t>978-5-16-020745-2</t>
  </si>
  <si>
    <t>03.04.02, 30.05.02, 31.05.01</t>
  </si>
  <si>
    <t>Техническая академия Росатома</t>
  </si>
  <si>
    <t>167450.11.01</t>
  </si>
  <si>
    <t>Принятие роли матери: клинико-психологический анализ / Т.Д. Василенко - М.: Форум, 2026 -176с. (о)</t>
  </si>
  <si>
    <t>ПРИНЯТИЕ РОЛИ МАТЕРИ: КЛИНИКО-ПСИХОЛОГИЧЕСКИЙ АНАЛИЗ</t>
  </si>
  <si>
    <t>Василенко Т. Д., Земзюлина И. Н.</t>
  </si>
  <si>
    <t>978-5-91134-592-1</t>
  </si>
  <si>
    <t>37.00.00, 37.03.01, 37.03.02, 37.04.01, 37.04.02, 37.05.01, 37.06.01</t>
  </si>
  <si>
    <t>Курский государственный медицинский университет</t>
  </si>
  <si>
    <t>447350.04.01</t>
  </si>
  <si>
    <t>Природные факторы оздоровления: Уч.пос. / М.Г.Ясовеев-М.:НИЦ ИНФРА-М,2023.-259 с.(ВО: Бакалавриат)(п)</t>
  </si>
  <si>
    <t>ПРИРОДНЫЕ ФАКТОРЫ ОЗДОРОВЛЕНИЯ</t>
  </si>
  <si>
    <t>Ясовеев М. Г., Досин Ю. М.</t>
  </si>
  <si>
    <t>978-5-16-009044-3</t>
  </si>
  <si>
    <t>05.03.01, 05.03.02, 05.03.06, 05.04.01, 05.04.02, 05.04.06, 20.03.02, 31.05.01</t>
  </si>
  <si>
    <t>Белорусский государственный университет</t>
  </si>
  <si>
    <t>765988.04.01</t>
  </si>
  <si>
    <t>Прогноз послеоперационного течения мочекаменной болезни / С.С.Дунаевская.-М.:НИЦ ИНФРА-М,2023.-199 с.(О)</t>
  </si>
  <si>
    <t>ПРОГНОЗ ПОСЛЕОПЕРАЦИОННОГО ТЕЧЕНИЯ МОЧЕКАМЕННОЙ БОЛЕЗНИ</t>
  </si>
  <si>
    <t>Бережной А.Г., Дунаевская С.С., Винник Ю.С.</t>
  </si>
  <si>
    <t>978-5-16-017604-8</t>
  </si>
  <si>
    <t>31.05.01, 31.05.02, 31.06.01, 31.07.01, 31.08.68, 32.05.01</t>
  </si>
  <si>
    <t>465650.10.01</t>
  </si>
  <si>
    <t>Производственная санитария и гигиена труда: Уч. / Б.М.Азизов - М.:НИЦ ИНФРА-М,2026 - 433 с.(ВО)(п)</t>
  </si>
  <si>
    <t>ПРОИЗВОДСТВЕННАЯ САНИТАРИЯ И ГИГИЕНА ТРУДА</t>
  </si>
  <si>
    <t>Азизов Б. М., Чепегин И. В.</t>
  </si>
  <si>
    <t>978-5-16-019228-4</t>
  </si>
  <si>
    <t>Рекомендовано Федеральным государственным бюджетным образовательным учреждением высшего профессионального образования «Московский государственный технический университет имени Н.Э. Баумана» в качестве учебника для студентов высших учебных заведений, обучающихся по направлению подготовки 20.03.01 «Техносферная безопасность»</t>
  </si>
  <si>
    <t>Казанский национальный исследовательский технологический университет</t>
  </si>
  <si>
    <t>413200.11.01</t>
  </si>
  <si>
    <t>Производственная санитария и гигиена труда: Уч.пос. / Т.Г.Феоктистова - М:ИНФРА-М,2023-382с.(ВО)(п)</t>
  </si>
  <si>
    <t>Феоктистова Т.Г., Феоктистова О.Г., Наумова Т.В.</t>
  </si>
  <si>
    <t>978-5-16-018584-2</t>
  </si>
  <si>
    <t>32.08.03</t>
  </si>
  <si>
    <t>Рекомендовано Учебно-методическим объединением вузов по образованию в области эксплуатации авиационной и космической техники для межвузовского использования</t>
  </si>
  <si>
    <t>Московский государственный технический университет гражданской авиации</t>
  </si>
  <si>
    <t>832221.01.01</t>
  </si>
  <si>
    <t>Пропедевтика внутренних болезней: Уч.пос. / А.Л.Калинин - М.:НИЦ ИНФРА-М, ГомГМУ,2025 - 1107 с.(ВО (ГомГМУ))(п)</t>
  </si>
  <si>
    <t>ПРОПЕДЕВТИКА ВНУТРЕННИХ БОЛЕЗНЕЙ</t>
  </si>
  <si>
    <t>Калинин А.Л., Друян Л.И., Кривелевич Н.Б. и др.</t>
  </si>
  <si>
    <t>978-5-16-020041-5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</si>
  <si>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«Лечебное дело», «Медико-профилактическое дело», «Медико-диагностическое дело»</t>
  </si>
  <si>
    <t>680302.02.01</t>
  </si>
  <si>
    <t>Протеинурия в клинической практике: Моногр. / Е.С.Крутиков - М.:НИЦ ИНФРА-М,2022 - 139 с.-(Науч.мысль (КрымФУ))(О)</t>
  </si>
  <si>
    <t>ПРОТЕИНУРИЯ В КЛИНИЧЕСКОЙ ПРАКТИКЕ</t>
  </si>
  <si>
    <t>Крутиков Е.С., Кошукова Г.Н., Польская Л.В. и др.</t>
  </si>
  <si>
    <t>978-5-16-017544-7</t>
  </si>
  <si>
    <t>12.03.04, 31.05.01, 31.05.02</t>
  </si>
  <si>
    <t>632296.09.01</t>
  </si>
  <si>
    <t>Профессиональная нейросенсорная тугоухость: Моногр. / С.А.Бабанов - М.:Вуз. уч., НИЦ ИНФРА-М,2025. - 98 с.(О)</t>
  </si>
  <si>
    <t>ПРОФЕССИОНАЛЬНАЯ НЕЙРОСЕНСОРНАЯ ТУГОУХОСТЬ</t>
  </si>
  <si>
    <t>Бабанов С.А., Лотков В.С., Вакурова Н.В. и др.</t>
  </si>
  <si>
    <t>978-5-9558-0501-6</t>
  </si>
  <si>
    <t>775860.01.01</t>
  </si>
  <si>
    <t>Профессиональная реабилитация лиц с инвалидностью...: Моногр. / Е.М.Старобина-М.:НИЦ ИНФРА-М,2022.-235 с.(О)</t>
  </si>
  <si>
    <t>ПРОФЕССИОНАЛЬНАЯ РЕАБИЛИТАЦИЯ ЛИЦ С ИНВАЛИДНОСТЬЮ:  СОСТОЯНИЕ И НАПРАВЛЕНИЯ РАЗВИТИЯ</t>
  </si>
  <si>
    <t>Старобина Е.М., Рябоконь А.Г., Гордиевская Е.О.</t>
  </si>
  <si>
    <t>978-5-16-017614-7</t>
  </si>
  <si>
    <t>31.05.01, 31.06.01, 31.08.41, 31.08.44, 37.04.01, 39.04.02</t>
  </si>
  <si>
    <t>144850.11.01</t>
  </si>
  <si>
    <t>Профессиональные болезни: Уч. пос. / В.В. Косарев - М.: Вуз.уч.,2025 - 252 с. (п)</t>
  </si>
  <si>
    <t>ПРОФЕССИОНАЛЬНЫЕ БОЛЕЗНИ</t>
  </si>
  <si>
    <t>978-5-9558-0178-0</t>
  </si>
  <si>
    <t>31.05.01, 31.06.01, 31.07.01, 31.08.44, 32.05.01, 34.03.01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</si>
  <si>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системы послевузовского профессионального образования врачей</t>
  </si>
  <si>
    <t>227800.09.01</t>
  </si>
  <si>
    <t>Профессиональные забол. нерв. системы: Практ. рук. /В.В. Косарев - М.: НИЦ ИНФРА-М, 2026 -142 с. (о)</t>
  </si>
  <si>
    <t>ПРОФЕССИОНАЛЬНЫЕ ЗАБОЛЕВАНИЯ НЕРВНОЙ СИСТЕМЫ</t>
  </si>
  <si>
    <t>978-5-16-009027-6</t>
  </si>
  <si>
    <t>31.05.01, 31.05.02, 32.05.01, 34.03.01</t>
  </si>
  <si>
    <t>414600.11.01</t>
  </si>
  <si>
    <t>Профессиональные заболев.мед.работников: Моногр. / В.В.Косарев - М.:НИЦ ИНФРА-М,2023 - 174 с.(Науч.мысль)(о)</t>
  </si>
  <si>
    <t>ПРОФЕССИОНАЛЬНЫЕ ЗАБОЛЕВАНИЯ МЕДИЦИНСКИХ РАБОТНИКОВ</t>
  </si>
  <si>
    <t>Косарев В.В., Бабанов С.А.</t>
  </si>
  <si>
    <t>978-5-16-006220-4</t>
  </si>
  <si>
    <t>403250.08.01</t>
  </si>
  <si>
    <t>Профессиональные заболевания органов дыхания:Уч.пос. / В.В.Косарев-М.:НИЦ ИНФРА-М,2024.-112 с.(ВО)(О)</t>
  </si>
  <si>
    <t>ПРОФЕССИОНАЛЬНЫЕ ЗАБОЛЕВАНИЯ ОРГАНОВ ДЫХАНИЯ</t>
  </si>
  <si>
    <t>978-5-16-006221-1</t>
  </si>
  <si>
    <t>31.05.01, 31.06.01, 31.07.01, 31.08.44, 31.08.45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</si>
  <si>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студентов обучающихся по специальностям 060101 65 Лечебное дело 060103 65 Педиатрия 060105 060104 65 Медико-профилактическое дело</t>
  </si>
  <si>
    <t>688828.03.01</t>
  </si>
  <si>
    <t>Профилактика и лечение непроходимости пищевода после хим...:Уч.пос. / В.И.Белоконев-М.:НИЦ ИНФРА-М,2022-147с(П)</t>
  </si>
  <si>
    <t>ПРОФИЛАКТИКА И ЛЕЧЕНИЕ НЕПРОХОДИМОСТИ ПИЩЕВОДА ПОСЛЕ ХИМИЧЕСКИХ ОЖОГОВ КОРРОЗИВНЫМИ ЖИДКОСТЯМИ</t>
  </si>
  <si>
    <t>Белоконев В.И., Пушкин С.Ю., Никольский В.И. и др.</t>
  </si>
  <si>
    <t>978-5-16-014580-8</t>
  </si>
  <si>
    <t>844886.01.01</t>
  </si>
  <si>
    <t>Психологические факторы реабилитац. потенциала у...: Моногр. / В.С.Сорокина - М.:НИЦ ИНФРА-М,2025. -167 с.(о)</t>
  </si>
  <si>
    <t>ПСИХОЛОГИЧЕСКИЕ ФАКТОРЫ РЕАБИЛИТАЦИОННОГО ПОТЕНЦИАЛА У ПАЦИЕНТОВ С ДЕПРЕССИВНЫМ СИНДРОМОМ</t>
  </si>
  <si>
    <t>Сорокина В.С., Иванова Е.М., Ениколопов С.Н.</t>
  </si>
  <si>
    <t>978-5-16-020700-1</t>
  </si>
  <si>
    <t>37.04.01, 37.05.01, 37.06.01</t>
  </si>
  <si>
    <t>Федеральный научно-клинический центр реаниматологии и реабилитологии</t>
  </si>
  <si>
    <t>665058.06.01</t>
  </si>
  <si>
    <t>Психология в медицине: Уч.пос. / Г.С.Абрамова - 2 изд. - М.:НИЦ ИНФРА-М,2025 - 273 с.(ВО: Спец.)(П)</t>
  </si>
  <si>
    <t>ПСИХОЛОГИЯ В МЕДИЦИНЕ, ИЗД.2</t>
  </si>
  <si>
    <t>Абрамова Г.С., Юдчиц Ю.А.</t>
  </si>
  <si>
    <t>978-5-16-013836-7</t>
  </si>
  <si>
    <t>31.05.02, 34.03.01, 37.05.01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</si>
  <si>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31.05.02 «Педиатрия» (квалификация  «врач-педиатр общей практики»), 37.05.01 «Клиническая психология» (квалификация «клинический психолог»)</t>
  </si>
  <si>
    <t>Брестский государственный университет имени А.С.Пушкина</t>
  </si>
  <si>
    <t>471900.08.01</t>
  </si>
  <si>
    <t>Психология и психопат. познав. деят.: Уч.пос. / Г.Н.Носачев - М.: Форум, НИЦ ИНФРА-М, 2025 - 240 с.(ВО)(О)</t>
  </si>
  <si>
    <t>ПСИХОЛОГИЯ И ПСИХОПАТОЛОГИЯ ПОЗНАВАТЕЛЬНОЙ ДЕЯТЕЛЬНОСТИ (ОСНОВНЫЕ СИМПТОМЫ И СИНДРОМЫ)</t>
  </si>
  <si>
    <t>Носачев Г.Н., Носачев И.Г.</t>
  </si>
  <si>
    <t>978-5-00091-609-4</t>
  </si>
  <si>
    <t>31.05.01, 37.03.01, 37.05.01</t>
  </si>
  <si>
    <t>Рекомендовано в качестве учебного пособия для студентов высших учебных заведений, обучающихся по направлению подготовки «Психология»</t>
  </si>
  <si>
    <t>Национальный медицинский исследовательский центр психиатрии и наркологии им. В.П. Сербского</t>
  </si>
  <si>
    <t>244500.06.01</t>
  </si>
  <si>
    <t>Радионуклидная диагностика с нейротропными..: Моногр. / В.Б.Сергиенко - ИНФРА-М,2023 - 112 с.(О)</t>
  </si>
  <si>
    <t>РАДИОНУКЛИДНАЯ ДИАГНОСТИКА С НЕЙРОТРОПНЫМИ РАДИОФАРМПРЕПАРАТАМИ</t>
  </si>
  <si>
    <t>Сергиенко В. Б., Аншелес А. А.</t>
  </si>
  <si>
    <t>978-5-16-009170-9</t>
  </si>
  <si>
    <t>244800.12.01</t>
  </si>
  <si>
    <t>Расстройства шизофренического спектра: Уч.пос. / Л.М.Барденштейн - М.:НИЦ ИНФРА-М,2025 -112 с.(ВО)(О)</t>
  </si>
  <si>
    <t>РАССТРОЙСТВА ШИЗОФРЕНИЧЕСКОГО СПЕКТРА</t>
  </si>
  <si>
    <t>Барденштейн Л.М., Щербакова И.В., Алешкина Г.А.</t>
  </si>
  <si>
    <t>978-5-16-019031-0</t>
  </si>
  <si>
    <t>31.05.01, 34.03.01</t>
  </si>
  <si>
    <t>Рекомендовано к изданию Ученым советом ГБОУ ВПО «Московский государственный медико-стоматологический университет имени А.И. Евдокимова» Министерства здравоохранения РФ</t>
  </si>
  <si>
    <t>717653.04.01</t>
  </si>
  <si>
    <t>Реконструктивная хирургия опериров. желудка: Моногр. / Д.В.Ручкин - М.:НИЦ ИНФРА-М,2025 - 194 с.(О)</t>
  </si>
  <si>
    <t>РЕКОНСТРУКТИВНАЯ ХИРУРГИЯ ОПЕРИРОВАННОГО ЖЕЛУДКА</t>
  </si>
  <si>
    <t>Ручкин Д.В., Козлов В.А.</t>
  </si>
  <si>
    <t>978-5-16-015584-5</t>
  </si>
  <si>
    <t>Национальный медицинский исследовательский центр хирургии имени А.В. Вишневского Минздрава России.</t>
  </si>
  <si>
    <t>689678.05.01</t>
  </si>
  <si>
    <t>Сборник алгоритмов стоматолог. манипуляций к итог.гос. аттестации: Уч.пос. / К.А.Колесник-М.:НИЦ ИНФРА-М,2024-199с</t>
  </si>
  <si>
    <t>СБОРНИК АЛГОРИТМОВ СТОМАТОЛОГИЧЕСКИХ МАНИПУЛЯЦИЙ К ИТОГОВОЙ ГОСУДАРСТВЕННОЙ АТТЕСТАЦИИ</t>
  </si>
  <si>
    <t>Колесник К.А., Райда А.И., Каладзе Н.Н. и др.</t>
  </si>
  <si>
    <t>Высшее образование: Специалитет (КрымФУ)</t>
  </si>
  <si>
    <t>978-5-16-017327-6</t>
  </si>
  <si>
    <t>Рекомендовано Межрегиональным учебно-методическим советом профессионального образования для использования в учебном процессе в качестве учебного пособия для студентов высших учебных заведений, обучающихся по специальности 31.05.03 Стоматология» (квалификация «врач-стоматолог») (протокол № 6 от 16.06.2021)</t>
  </si>
  <si>
    <t>372300.04.01</t>
  </si>
  <si>
    <t>Семиотика псих.заболеваний. Общая психопатол.: Уч.пос./ Г.Н.Носачев-Форум,НИЦ ИНФРА-М,2019-336с.(ВО)</t>
  </si>
  <si>
    <t>СЕМИОТИКА ПСИХИЧЕСКИХ ЗАБОЛЕВАНИЙ. ОБЩАЯ ПСИХОПАТОЛОГИЯ</t>
  </si>
  <si>
    <t>Носачев Г.Н., Романов Д.В., Носачев И.Г.</t>
  </si>
  <si>
    <t>978-5-00091-086-3</t>
  </si>
  <si>
    <t>31.05.01, 37.03.01, 37.04.01</t>
  </si>
  <si>
    <t>Рекомендовано в качестве учебного пособия для студентов высших учебных заведений, обучающихся по направлению подготовки 31.05.01 «Лечебное дело» (квалификация (степень) «врач общей практики»)</t>
  </si>
  <si>
    <t>372300.10.01</t>
  </si>
  <si>
    <t>Семиотика психич. заболеваний: Уч.пос. / Г.Н.Носачев - 2 изд. - М.:Форум, НИЦ ИНФРА-М,2025 - 420 с.(ВО)(п)</t>
  </si>
  <si>
    <t>СЕМИОТИКА ПСИХИЧЕСКИХ ЗАБОЛЕВАНИЙ. ОБЩАЯ ПСИХОПАТОЛОГИЯ, ИЗД.2</t>
  </si>
  <si>
    <t>978-5-00091-819-7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</si>
  <si>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медицинским и психологическим специальностям (протокол № 6 от 16.06.2021)</t>
  </si>
  <si>
    <t>100100.17.01</t>
  </si>
  <si>
    <t>Сестринское дело в терапии с курсом первич..: Уч.пос. / В.Г.Лычев - 3 изд. - Форум:ИНФРА-М, 2026 - 432 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</si>
  <si>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</si>
  <si>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</si>
  <si>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31.02.01, 31.02.02, 34.01.01, 34.02.01, 34.02.02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</si>
  <si>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</si>
  <si>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0315</t>
  </si>
  <si>
    <t>083350.14.01</t>
  </si>
  <si>
    <t>Сестринское дело в терапии. С курсом...: Уч. пос. / В.Г.Лычев - 2 изд. - М.:Форум: Инфра-М, 2026 - 543 с.(ПО) (п)</t>
  </si>
  <si>
    <t>СЕСТРИНСКОЕ ДЕЛО В ТЕРАПИИ. С КУРСОМ ПЕРВИЧНОЙ МЕДИЦИНСКОЙ ПОМОЩИ, ИЗД.2</t>
  </si>
  <si>
    <t>Лычев В. Г., Карманов В. К.</t>
  </si>
  <si>
    <t>978-5-16-021450-4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</si>
  <si>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</si>
  <si>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0212</t>
  </si>
  <si>
    <t>210400.08.01</t>
  </si>
  <si>
    <t>Сестринское дело при инфекц. забол.: Уч.пос. / И.В.Колмаков-М.:ИЦ РИОР:НИЦ ИНФРА-М,2024-256с(ПО) (п)</t>
  </si>
  <si>
    <t>СЕСТРИНСКОЕ ДЕЛО ПРИ ИНФЕКЦИОННЫХ ЗАБОЛЕВАНИЯХ</t>
  </si>
  <si>
    <t>Колмаков И.В.</t>
  </si>
  <si>
    <t>978-5-369-01219-2</t>
  </si>
  <si>
    <t>31.02.01, 31.02.02, 32.02.01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</si>
  <si>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</si>
  <si>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051900.17.01</t>
  </si>
  <si>
    <t>Синдромная патология, дифференц. диагност...: Уч.пос. / Г.Д.Тобулток - 3 изд. - М.:НИЦ ИНФРА-М,2025 - 336 с.(П)</t>
  </si>
  <si>
    <t>СИНДРОМНАЯ ПАТОЛОГИЯ, ДИФФЕРЕНЦИАЛЬНАЯ ДИАГНОСТИКА И ФАРМАКОТЕРАПИЯ, ИЗД.3</t>
  </si>
  <si>
    <t>Тобулток Г. Д., Иванова Н. А.</t>
  </si>
  <si>
    <t>978-5-16-016861-6</t>
  </si>
  <si>
    <t>31.02.01, 31.02.02, 31.02.03, 32.02.01, 33.02.01, 34.02.01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</si>
  <si>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</si>
  <si>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0312</t>
  </si>
  <si>
    <t>768834.01.01</t>
  </si>
  <si>
    <t>Ситология и лактотерапия: Уч.пос. / О.Д.Сидоренко-М.:НИЦ ИНФРА-М,2022.-218 с.(ВО: Бакалавриат)(п)</t>
  </si>
  <si>
    <t>СИТОЛОГИЯ И ЛАКТОТЕРАПИЯ</t>
  </si>
  <si>
    <t>Сидоренко О.Д., Жукова Е.В.</t>
  </si>
  <si>
    <t>978-5-16-017421-1</t>
  </si>
  <si>
    <t>19.03.04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</si>
  <si>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19.00.00 «Промышленная экология и биотехнологии» (квалификация (степень) «бакалавр») (протокол № 6 от 08.06.2022)</t>
  </si>
  <si>
    <t>Российский государственный аграрный университет - МСХА им. К.А. Тимирязева</t>
  </si>
  <si>
    <t>750932.02.01</t>
  </si>
  <si>
    <t>Совр. демограф. процессы: здоровье и здравоохр.: Уч.пос. / А.А.Шабунова - изд.-М.:НИЦ ИНФРА-М,2024.-223 с(п)</t>
  </si>
  <si>
    <t>СОВРЕМЕННЫЕ ДЕМОГРАФИЧЕСКИЕ ПРОЦЕССЫ: ЗДОРОВЬЕ И ЗДРАВООХРАНЕНИЕ, ИЗД.2</t>
  </si>
  <si>
    <t>Шабунова А.А., Калачикова О.Н., Груздева М.А. и др.</t>
  </si>
  <si>
    <t>Высшее образование: Магистратура</t>
  </si>
  <si>
    <t>978-5-16-017290-3</t>
  </si>
  <si>
    <t>31.05.01, 31.05.02, 32.04.01, 32.05.01, 38.04.01, 39.04.01</t>
  </si>
  <si>
    <t>Вологодский научный центр Российской академии наук</t>
  </si>
  <si>
    <t>690261.01.01</t>
  </si>
  <si>
    <t>Современные аспекты экологической медицины...: Моногр. / Е.В.Евстафьева-М.:НИЦ ИНФРА-М,2023.-251 с.(П)</t>
  </si>
  <si>
    <t>СОВРЕМЕННЫЕ АСПЕКТЫ ЭКОЛОГИЧЕСКОЙ МЕДИЦИНЫ: ТЕОРИЯ И ПРАКТИКА НА КРЫМСКОМ ПОЛУОСТРОВЕ</t>
  </si>
  <si>
    <t>Евстафьева Е.В., Артов А.М., Богданова А.М. и др.</t>
  </si>
  <si>
    <t>978-5-16-018182-0</t>
  </si>
  <si>
    <t>Академический научно-исследовательский институт физических методов лечения, медицинской климатологии</t>
  </si>
  <si>
    <t>465350.08.01</t>
  </si>
  <si>
    <t>Современные вопросы клинической фармакологии: Уч.пос. / Н.Б.Сидоренко - М: ИНФРА-М,2024 - 217с.(ВО)</t>
  </si>
  <si>
    <t>СОВРЕМЕННЫЕ ВОПРОСЫ КЛИНИЧЕСКОЙ ФАРМАКОЛОГИИ</t>
  </si>
  <si>
    <t>Сидоренко Н.Б., Терентьева Н.В., Титова З.А. и др.</t>
  </si>
  <si>
    <t>978-5-16-009499-1</t>
  </si>
  <si>
    <t>31.05.01, 31.05.02, 31.05.03, 34.03.01</t>
  </si>
  <si>
    <t>819114.01.01</t>
  </si>
  <si>
    <t>Современные технологии толстокишечной эзофагопластики у детей/ М.Г.Чепурной-М.:НИЦ ИНФРА-М,2025.-180 с.(о)</t>
  </si>
  <si>
    <t>СОВРЕМЕННЫЕ ТЕХНОЛОГИИ ТОЛСТОКИШЕЧНОЙ ЭЗОФАГОПЛАСТИКИ У ДЕТЕЙ</t>
  </si>
  <si>
    <t>Чепурной М.Г.</t>
  </si>
  <si>
    <t>978-5-16-019685-5</t>
  </si>
  <si>
    <t>АКАДЕМУС-2023, Победитель, I место</t>
  </si>
  <si>
    <t>864008.01.01</t>
  </si>
  <si>
    <t>Судебно-мед.. диагностика давности наступл. смерти детей../ Е.М.Кильдюшов -М.:Юр. НОРМА, НИЦ ИНФРА-М,2026.-80 с.(о)</t>
  </si>
  <si>
    <t>СУДЕБНО-МЕДИЦИНСКАЯ ДИАГНОСТИКА ДАВНОСТИ НАСТУПЛЕНИЯ СМЕРТИ ДЕТЕЙ ПО ДИНАМИКЕ ПОКАЗАТЕЛЕЙ ВНУТРИГЛАЗНОГО ДАВЛЕНИЯ</t>
  </si>
  <si>
    <t>Кильдюшов Е.М., Услонцев Д.Н., Соколова З.Ю. и др.</t>
  </si>
  <si>
    <t>978-5-00156-455-3</t>
  </si>
  <si>
    <t>31.05.01, 31.05.02, 31.05.03, 32.05.01, 40.03.01, 40.05.01, 40.05.02, 40.05.03</t>
  </si>
  <si>
    <t>161800.15.01</t>
  </si>
  <si>
    <t>Тактика мед. сестры при неотложных...: Уч.пос. / В.Г.Лычев - 3 изд. - М.:НИЦ ИНФРА-М,2026. - 318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</si>
  <si>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</si>
  <si>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</si>
  <si>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</si>
  <si>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</si>
  <si>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0319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</si>
  <si>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</si>
  <si>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</si>
  <si>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</si>
  <si>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</si>
  <si>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</si>
  <si>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</si>
  <si>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244700.13.01</t>
  </si>
  <si>
    <t>Тактика психиатрич.обслед.и алгоритм...: Уч.пос. / Л.М.Барденштейн - М.:НИЦ ИНФРА-М,2026 - 76 с.(ВО)(О)</t>
  </si>
  <si>
    <t>ТАКТИКА ПСИХИАТРИЧЕСКОГО ОБСЛЕДОВАНИЯ И АЛГОРИТМ НАПИСАНИЯ ИСТОРИИ БОЛЕЗНИ</t>
  </si>
  <si>
    <t>Барденштейн Л.М., Алешкина Г.А.</t>
  </si>
  <si>
    <t>978-5-16-020594-6</t>
  </si>
  <si>
    <t>31.05.01, 31.08.20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</si>
  <si>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 (квалификация «врач общей практики»), 31.08.20 «Психиатрия» (квалификация «врач-психиатр»)</t>
  </si>
  <si>
    <t>648868.07.01</t>
  </si>
  <si>
    <t>Теоретические основы здоровья человека...: Уч.пос. / Н.Н.Каргин - М.:НИЦ ИНФРА-М,2026. - 243 с.(П)</t>
  </si>
  <si>
    <t>ТЕОРЕТИЧЕСКИЕ ОСНОВЫ ЗДОРОВЬЯ ЧЕЛОВЕКА И ЕГО ФОРМИРОВАНИЯ СРЕДСТВАМИ ФИЗИЧЕСКОЙ КУЛЬТУРЫ И СПОРТА</t>
  </si>
  <si>
    <t>Каргин Н.Н., Лаамарти Ю.А.</t>
  </si>
  <si>
    <t>978-5-16-021130-5</t>
  </si>
  <si>
    <t>32.04.01, 32.05.01, 44.03.01, 49.03.01, 49.03.03, 49.04.01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</si>
  <si>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укрупненным направлениям подготовки 49.03.00 «Физическая культура и спорт», 43.03.00 «Сервис и туризм», 44.03.00 «Образование и педагогические науки» (квалификация (степень) «бакалавр») (протокол № 5 от 26.03.2020)</t>
  </si>
  <si>
    <t>Российский университет транспорта (МИИТ)</t>
  </si>
  <si>
    <t>274100.08.01</t>
  </si>
  <si>
    <t>Теория сестринского дела: Уч. / Н.Н.Камынина - 2 изд - М.:НИЦ ИНФРА-М,2025 - 214 с.(ВО:Бакалавр.) (п)</t>
  </si>
  <si>
    <t>ТЕОРИЯ СЕСТРИНСКОГО ДЕЛА, ИЗД.2</t>
  </si>
  <si>
    <t>Камынина Н.Н., Островская И.В., Пьяных А.В.</t>
  </si>
  <si>
    <t>978-5-16-009579-0</t>
  </si>
  <si>
    <t>34.03.01</t>
  </si>
  <si>
    <t>Рекомендовано ГОУ ВПО "Московская медицинская академия им. ИМ. Сеченова" в качестве учебника для студентов высшего профессионального образования, обучающихся по специальности 060109.65 «Сестринское дело"</t>
  </si>
  <si>
    <t>705354.04.01</t>
  </si>
  <si>
    <t>Теория сестринского дела: Уч. / Н.Н.Камынина - 2 изд. - М.:НИЦ ИНФРА-М,2025. - 214 с.(СПО)(п)</t>
  </si>
  <si>
    <t>Камынина Н.Н., Островская И.В., Пьяных А.В. и др.</t>
  </si>
  <si>
    <t>978-5-16-015034-5</t>
  </si>
  <si>
    <t>31.02.01, 31.02.02, 34.01.01, 34.02.01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</si>
  <si>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</si>
  <si>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СПО-2019, Победитель</t>
  </si>
  <si>
    <t>744299.01.01</t>
  </si>
  <si>
    <t>Тепловизионная скрининг-диагностика. Болезни системы кровообращения. Варикозное расширение вен. Атлас термограмм -М.:НИЦ ИНФРА-М,2020.-91 с.(П)</t>
  </si>
  <si>
    <t>ТЕПЛОВИЗИОННАЯ СКРИНИНГ-ДИАГНОСТИКА. БОЛЕЗНИ СИСТЕМЫ КРОВООБРАЩЕНИЯ. ВАРИКОЗНОЕ РАСШИРЕНИЕ ВЕН НИЖНИХ КОНЕЧНОСТЕЙ. ФЛЕБИТ. ТРОМБОФЛЕБИТ</t>
  </si>
  <si>
    <t>Воловик М.Г., Долгов И.М., Муравина Н.Л.</t>
  </si>
  <si>
    <t>978-5-16-016492-2</t>
  </si>
  <si>
    <t>Атлас</t>
  </si>
  <si>
    <t>31.02.01, 31.05.01, 31.05.02, 31.06.01, 31.07.01, 31.08.01, 31.08.05, 32.04.01, 32.05.01</t>
  </si>
  <si>
    <t>130130.07.01</t>
  </si>
  <si>
    <t>Технологии восстан. лечения при дорсопатиях: Уч. пос./ Л.Г. Агасаров.-Вуз. уч..:ИНФРА-М, 2024.-96с. (о)</t>
  </si>
  <si>
    <t>ТЕХНОЛОГИИ ВОССТАНОВИТЕЛЬНОГО ЛЕЧЕНИЯ ПРИ ДОРСОПАТИЯХ, ИЗД.2</t>
  </si>
  <si>
    <t>Агасаров Л. Г.</t>
  </si>
  <si>
    <t>978-5-9558-0162-9</t>
  </si>
  <si>
    <t>31.06.01, 31.08.42, 31.08.56, 31.08.66, 31.08.67</t>
  </si>
  <si>
    <t>Рекомендовано УМО по медицинскому и фармацевтическому образованию вузов России в качестве учебного пособия для системы послевузового профессионального образования врачей</t>
  </si>
  <si>
    <t>0210</t>
  </si>
  <si>
    <t>204200.08.01</t>
  </si>
  <si>
    <t>Технология конструкционных матер. в приборостроении: Уч. / Р.М.Гоцеридзе - ИНФРА-М, 2024-423с.(ВО) (п)</t>
  </si>
  <si>
    <t>ТЕХНОЛОГИЯ КОНСТРУКЦИОННЫХ МАТЕРИАЛОВ В ПРИБОРОСТРОЕНИИ</t>
  </si>
  <si>
    <t>Гоцеридзе Р. М.</t>
  </si>
  <si>
    <t>978-5-16-005048-5</t>
  </si>
  <si>
    <t>Рекомендовано в качестве учебника студентам высших учебных заведений, обучающихся по направлению 200000 "Приборостроение и оптотехника»</t>
  </si>
  <si>
    <t>Московский государственный технический университет им. Н.Э. Баумана Национальный исследовательский университет</t>
  </si>
  <si>
    <t>860030.01.01</t>
  </si>
  <si>
    <t>Топографическая анатомия конечностей: Уч.мет.пос. / М.В.Лапич. - М.:НИЦ ИНФРА-М, Гомельский гос. универ.,2026. - 112 с.(ВО)(п)</t>
  </si>
  <si>
    <t>ТОПОГРАФИЧЕСКАЯ АНАТОМИЯ КОНЕЧНОСТЕЙ</t>
  </si>
  <si>
    <t>Лапич М.В., Семеняго С.А., Введенский Д.В.</t>
  </si>
  <si>
    <t>978-5-16-021298-2</t>
  </si>
  <si>
    <t>30.05.03, 31.05.01, 31.05.02</t>
  </si>
  <si>
    <t>654536.04.01</t>
  </si>
  <si>
    <t>Трофические язвы венозной этиологии. Диагност....: Уч.пос. / С.Е.Каторкин, - 2 изд.-М.:НИЦ ИНФРА-М,2023.-317 с.(п)</t>
  </si>
  <si>
    <t>ТРОФИЧЕСКИЕ ЯЗВЫ ВЕНОЗНОЙ ЭТИОЛОГИИ. ДИАГНОСТИКА И ЛЕЧЕНИЕ., ИЗД.2</t>
  </si>
  <si>
    <t>Каторкин С.Е., Мельников М.А.</t>
  </si>
  <si>
    <t>978-5-16-018237-7</t>
  </si>
  <si>
    <t>654536.03.01</t>
  </si>
  <si>
    <t>Трофические язвы венозной этиологии. Диагност.: Уч.пос. / С.Е.Каторкин - М.:НИЦ ИНФРА-М,2022 - 312 с.(ВО)(П)</t>
  </si>
  <si>
    <t>ТРОФИЧЕСКИЕ ЯЗВЫ ВЕНОЗНОЙ ЭТИОЛОГИИ. ДИАГНОСТИКА И ЛЕЧЕНИЕ.</t>
  </si>
  <si>
    <t>978-5-16-014064-3</t>
  </si>
  <si>
    <t>663826.05.01</t>
  </si>
  <si>
    <t>Участковый врач-терапевт: Уч. / Т.Т.Карманова - М.:НИЦ ИНФРА-М,2024 - 722 с.(ВО: Специалитет)(П)</t>
  </si>
  <si>
    <t>УЧАСТКОВЫЙ ВРАЧ-ТЕРАПЕВТ</t>
  </si>
  <si>
    <t>978-5-16-015761-0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</si>
  <si>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31.05.01 «Лечебное дело» (квалификация «врач общей практики») (протокол № 2 от 28.01.2019)</t>
  </si>
  <si>
    <t>846995.01.01</t>
  </si>
  <si>
    <t>Фармакология = Pharmacology: Уч.пос на англ.яз.. / Е.И.Михайлова. - М.:НИЦ ИНФРА-М, ГомГМУ,2026. - 333 с.(ВО)(п)</t>
  </si>
  <si>
    <t>ФАРМАКОЛОГИЯ = PHARMACOLOGY</t>
  </si>
  <si>
    <t>Михайлова Е.И., Саварина В.А., Сатырова Т.В. и др.</t>
  </si>
  <si>
    <t>978-5-16-021004-9</t>
  </si>
  <si>
    <t>30.05.03, 31.05.01, 31.05.02, 31.05.03, 32.05.01, 33.05.01, 34.03.01</t>
  </si>
  <si>
    <t>234500.11.01</t>
  </si>
  <si>
    <t>Фармакология: Уч. / М.Д.Гаевый - М.:НИЦ ИНФРА-М,2026 - 454 с.(ВО)(П)</t>
  </si>
  <si>
    <t>ФАРМАКОЛОГИЯ</t>
  </si>
  <si>
    <t>Гаевый М.Д., Гаевая Л.М.</t>
  </si>
  <si>
    <t>978-5-16-009135-8</t>
  </si>
  <si>
    <t>Допущено Министерством здравоохранения РФ в качестве учебника для учащихся медицинских и фармацевтических вузов и факультетов</t>
  </si>
  <si>
    <t>Волгоградский государственный медицинский университет, ф-л Пятигорский медико-фармацевтический институт</t>
  </si>
  <si>
    <t>333000.06.01</t>
  </si>
  <si>
    <t>Фармакотерапия с основ.клинич.фарм.и фитотерапии: Уч./ М.Д.Гаевый-М.:НИЦ ИНФРА-М,2023.-639 с.(ВО)(П)</t>
  </si>
  <si>
    <t>ФАРМАКОТЕРАПИЯ С ОСНОВАМИ КЛИНИЧЕСКОЙ ФАРМАКОЛОГИИ И ФИТОТЕРАПИИ</t>
  </si>
  <si>
    <t>978-5-16-011853-6</t>
  </si>
  <si>
    <t>Рекомендовано Департаментом образовательных медицинских учреждений и кадровой политики Министерства здравоохранения Российской Федерации в качестве учебника для студентов фармацевтических и медицинских вузов</t>
  </si>
  <si>
    <t>719504.07.01</t>
  </si>
  <si>
    <t>Физиологические основы здоровья: Уч.пос. / Н.П.Абаскалова - 2 изд. - М.:НИЦ ИНФРА-М,2026 - 351 с.(СПО)(П)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</si>
  <si>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</si>
  <si>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</si>
  <si>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</si>
  <si>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00.01.05, 00.02.14, 00.02.15, 31.01.01, 31.02.01, 31.02.02, 31.02.03, 31.02.04, 31.02.05, 31.02.06, 32.02.01, 34.01.01, 34.02.01, 34.02.02, 44.02.01, 44.02.02, 44.02.03, 44.02.04, 44.02.05, 44.02.06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</si>
  <si>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</si>
  <si>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0220</t>
  </si>
  <si>
    <t>245100.07.01</t>
  </si>
  <si>
    <t>Физиологические основы здоровья: Уч.пос. / Н.П.Абаскалова - 2 изд.-М.:НИЦ ИНФРА-М,2024-351с.(ВО)(П)</t>
  </si>
  <si>
    <t>Абаскалова Н. П., Иашвили М. В., Кривощеков С. Г., Айзман Р. И.</t>
  </si>
  <si>
    <t>978-5-16-009280-5</t>
  </si>
  <si>
    <t>31.05.01, 31.05.02, 31.05.03, 32.04.01, 32.05.01, 34.03.01</t>
  </si>
  <si>
    <t>408100.10.01</t>
  </si>
  <si>
    <t>Физиологические основы психической деят.:Уч.пос./ Р.И.Айзман.-М:НИЦ ИНФРА-М,2023-192с.(ВО:Бакалавр.) (п)</t>
  </si>
  <si>
    <t>ФИЗИОЛОГИЧЕСКИЕ ОСНОВЫ ПСИХИЧЕСКОЙ ДЕЯТЕЛЬНОСТИ</t>
  </si>
  <si>
    <t>Айзман Р. И., Кривощеков С. Г.</t>
  </si>
  <si>
    <t>978-5-16-006165-8</t>
  </si>
  <si>
    <t>37.03.01, 37.04.01, 49.03.01, 49.03.02, 49.03.03</t>
  </si>
  <si>
    <t>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педагогического направления (050100.62), профилей Безопасность жизнедеятельности, Биол</t>
  </si>
  <si>
    <t>860031.01.01</t>
  </si>
  <si>
    <t>Физиология кровообращения: Уч.мет.пос. / С.Н.Мельник. - М.:НИЦ ИНФРА-М, Гомельский гос. универ.,2026. - 146 с.(ВО)(п)</t>
  </si>
  <si>
    <t>ФИЗИОЛОГИЯ КРОВООБРАЩЕНИЯ</t>
  </si>
  <si>
    <t>Мельник С.Н., Мельник В.А., Сейфидинова С.Г.</t>
  </si>
  <si>
    <t>978-5-16-021299-9</t>
  </si>
  <si>
    <t>06.04.01, 31.05.02, 31.05.03, 34.03.01</t>
  </si>
  <si>
    <t>365800.06.01</t>
  </si>
  <si>
    <t>Физиология с основами анатомии: Уч. / Под ред. Тюкавина А.И.-М.:НИЦ ИНФРА-М,2021.-574 с.(ВО)(П)</t>
  </si>
  <si>
    <t>ФИЗИОЛОГИЯ С ОСНОВАМИ АНАТОМИИ</t>
  </si>
  <si>
    <t>Тюкавин А.И., Черешнев В.А., Яковлев В.Н. и др.</t>
  </si>
  <si>
    <t>978-5-16-011002-8</t>
  </si>
  <si>
    <t>31.05.01, 33.05.01, 34.03.01, 49.03.01, 49.03.02, 49.03.03</t>
  </si>
  <si>
    <t>Рекомендовано в качестве учебника для студентов высших учебных заведений, обучающихся по направлению подготовки 33.05.01 «Фармация» (квалификация (степень) «провизор»)</t>
  </si>
  <si>
    <t>637739.08.01</t>
  </si>
  <si>
    <t>Физиология физкультурно-оздор. деят.: Уч. / Л.К.Караулова - М.:НИЦ ИНФРА-М,2025. - 336 с.(ВО)(П)</t>
  </si>
  <si>
    <t>ФИЗИОЛОГИЯ ФИЗКУЛЬТУРНО-ОЗДОРОВИТЕЛЬНОЙ ДЕЯТЕЛЬНОСТИ</t>
  </si>
  <si>
    <t>Караулова Л.К.</t>
  </si>
  <si>
    <t>978-5-16-018443-2</t>
  </si>
  <si>
    <t>30.05.02, 31.05.01, 32.05.01, 49.03.01, 49.03.02</t>
  </si>
  <si>
    <t>Рекомендовано в качестве учебника для студентов высших учебных заведений, обучающихся по направлению подготовки 49.03.01 «Физическая культура» (квалификация (степень) «бакалавр»)</t>
  </si>
  <si>
    <t>Московский городской педагогический университет</t>
  </si>
  <si>
    <t>842428.01.01</t>
  </si>
  <si>
    <t>Физиология физкультурно-оздор. деят.: Уч. / Л.К.Караулова - М.:НИЦ ИНФРА-М,2025. - 336 с.(СПО)(п)</t>
  </si>
  <si>
    <t>978-5-16-020342-3</t>
  </si>
  <si>
    <t>31.02.01, 31.02.02, 31.02.03, 31.02.04, 31.02.06, 32.02.01, 33.02.01, 34.02.01, 42.02.12, 43.02.04, 44.02.03, 49.02.01</t>
  </si>
  <si>
    <t>244900.07.01</t>
  </si>
  <si>
    <t>Физиология человека: Уч. пос./ Р.И. Айзман - 2 изд. - М.: НИЦ ИНФРА-М, 2024 -432с.(ВО:Бакалавр.) (п)</t>
  </si>
  <si>
    <t>ФИЗИОЛОГИЯ ЧЕЛОВЕКА, ИЗД.2</t>
  </si>
  <si>
    <t>Айзман Р.И., Абаскалова Н.П., Шуленина Н.С.</t>
  </si>
  <si>
    <t>978-5-16-009279-9</t>
  </si>
  <si>
    <t>44.03.01, 44.03.05, 44.04.01</t>
  </si>
  <si>
    <t>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высших учебных заведений, обучающихся по направлению 44.04.01 (050100.62) «Педагогическое образование» (профили «Безопасность жизнедеятельности», «Биология», «Психология»</t>
  </si>
  <si>
    <t>465050.14.01</t>
  </si>
  <si>
    <t>Физиология: Уч.пос. / Ю.Н.Самко - М.:НИЦ ИНФРА-М,2026 - 144 с.(ВО)(о)</t>
  </si>
  <si>
    <t>ФИЗИОЛОГИЯ</t>
  </si>
  <si>
    <t>Самко Ю. Н.</t>
  </si>
  <si>
    <t>978-5-16-009659-9</t>
  </si>
  <si>
    <t>30.05.01, 30.05.02, 30.05.03, 31.05.01, 31.05.02</t>
  </si>
  <si>
    <t>Рекомендовано в качестве учебного пособия для студентов высших учебных заведений, обучающихся по направлениям подготовки 31.05.01 «Лечебное дело», 31.05.02 «Педиатрия» (квалификация «врач общей практики» и «врач-педиатр общей практики»)</t>
  </si>
  <si>
    <t>359000.09.01</t>
  </si>
  <si>
    <t>Физические основы получ. информации: Уч. / Г.Г.Раннев - 2 изд. - М.:КУРС,НИЦ ИНФРА-М,2025 - 304 с.(П)</t>
  </si>
  <si>
    <t>ФИЗИЧЕСКИЕ ОСНОВЫ ПОЛУЧЕНИЯ ИНФОРМАЦИИ, ИЗД.2</t>
  </si>
  <si>
    <t>Раннев Г.Г., Сурогина В.А., Тарасенко А.П. и др.</t>
  </si>
  <si>
    <t>Бакалавриат</t>
  </si>
  <si>
    <t>978-5-906818-97-3</t>
  </si>
  <si>
    <t>Рекомендовано в качестве учебника для студентов высших учебных заведений, обучающихся по направлению подготовки 12.03.01 «Приборостроение» (квалификация — Бакалавр)</t>
  </si>
  <si>
    <t>0217</t>
  </si>
  <si>
    <t>428700.05.01</t>
  </si>
  <si>
    <t>Физические основы получения информации: Уч. пос. / Б.Ю. Каплан. - М.: ИНФРА-М, 2023. - 286 с. (ВО) (п)</t>
  </si>
  <si>
    <t>ФИЗИЧЕСКИЕ ОСНОВЫ ПОЛУЧЕНИЯ ИНФОРМАЦИИ</t>
  </si>
  <si>
    <t>978-5-16-006381-2</t>
  </si>
  <si>
    <t>419850.06.01</t>
  </si>
  <si>
    <t>Филогенетическая теория общей патологии. Патогенез метабол..: Моногр./В.Н.Титов - ИНФРА-М, 2024-223с (о)</t>
  </si>
  <si>
    <t>ФИЛОГЕНЕТИЧЕСКАЯ ТЕОРИЯ ОБЩЕЙ ПАТОЛОГИИ. ПАТОГЕНЕЗ МЕТАБОЛИЧЕСКИХ ПАНДЕМИЙ. САХАРНЫЙ ДИАБЕТ</t>
  </si>
  <si>
    <t>Титов В. Н.</t>
  </si>
  <si>
    <t>978-5-16-006539-7</t>
  </si>
  <si>
    <t>31.05.01, 31.06.01, 31.08.07</t>
  </si>
  <si>
    <t>210100.07.01</t>
  </si>
  <si>
    <t>Филогенетическая теория общей патологии...:Моногр. / В.Н.Титов-М:НИЦ ИНФРА-М,2023-238с(Научн. мысль)</t>
  </si>
  <si>
    <t>ФИЛОГЕНЕТИЧЕСКАЯ ТЕОРИЯ ОБЩЕЙ ПАТОЛОГИИ. ПАТОГЕНЕЗ БОЛЕЗНЕЙ ЦИВИЛИЗАЦИИ. АТЕРОСКЛЕРОЗ</t>
  </si>
  <si>
    <t>978-5-16-006837-4</t>
  </si>
  <si>
    <t>30.05.02, 30.06.01, 31.05.01, 31.06.01, 31.07.01, 31.08.36</t>
  </si>
  <si>
    <t>453250.06.01</t>
  </si>
  <si>
    <t>Филогенетическая теория общей патологии..: Моногр. / В.Н.Титов - М.:ИНФРА-М,2026 - 204 с.-(Научн.мысль) (о)</t>
  </si>
  <si>
    <t>ФИЛОГЕНЕТИЧЕСКАЯ ТЕОРИЯ ОБЩЕЙ ПАТОЛОГИИ. ПАТОГЕНЕЗ МЕТАБОЛИЧЕСКИХ ПАНДЕМИЙ. АРТЕРИАЛЬНАЯ ГИПЕРТОНИЯ</t>
  </si>
  <si>
    <t>978-5-16-009287-4</t>
  </si>
  <si>
    <t>31.05.01, 31.06.01, 31.07.01, 31.08.07, 31.08.36, 34.03.01</t>
  </si>
  <si>
    <t>773008.01.01</t>
  </si>
  <si>
    <t>Хирургические вмешательства в комплекс. лечении туберкулеза... / Е.А.Бородулина.-М.:НИЦ ИНФРА-М,2022.-187 с(О)</t>
  </si>
  <si>
    <t>ХИРУРГИЧЕСКИЕ ВМЕШАТЕЛЬСТВА В КОМПЛЕКСНОМ ЛЕЧЕНИИ ТУБЕРКУЛЕЗА ЛЕГКИХ. ПРЕДОПЕРАЦИОННОЕ ПЛАНИРОВАНИЕ С 3D МОДЕЛИРОВАНИЕМ</t>
  </si>
  <si>
    <t>Бородулина Е.А., Колсанов А.В., Рогожкин П.В.</t>
  </si>
  <si>
    <t>978-5-16-017530-0</t>
  </si>
  <si>
    <t>31.05.01, 31.05.02, 31.05.03, 31.08.35, 31.08.51, 32.05.01</t>
  </si>
  <si>
    <t>АКАДЕМУС-2021, Победитель, II место</t>
  </si>
  <si>
    <t>860058.01.01</t>
  </si>
  <si>
    <t>Хирургические заболевания щитовид. железы..: Уч.мет.пос. / В.Б.Богданович - М.:НИЦ ИНФРА-М, ГомГМУ,2026 - 90 с.(о)</t>
  </si>
  <si>
    <t>ХИРУРГИЧЕСКИЕ ЗАБОЛЕВАНИЯ ЩИТОВИДНОЙ ЖЕЛЕЗЫ И ОКОЛОЩИТОВИДНЫХ ЖЕЛЕЗ</t>
  </si>
  <si>
    <t>Богданович В.Б., Берещенко В.В.</t>
  </si>
  <si>
    <t>978-5-16-021302-6</t>
  </si>
  <si>
    <t>462900.05.01</t>
  </si>
  <si>
    <t>Хирургическое леч.больных с травмами...: Уч.пос./В.И.Белоконев-М.:НИЦ ИНФРА-М,2024-64с.(ВО)(о)</t>
  </si>
  <si>
    <t>ХИРУРГИЧЕСКОЕ ЛЕЧЕНИЕ БОЛЬНЫХ С ТРАВМАМИ И СТРИКТУРАМИ ЖЕЛЧНЫХ ПРОТОКОВ</t>
  </si>
  <si>
    <t>Белоконев В.И., Ковалева З.В., Вострецов Ю.А. и др.</t>
  </si>
  <si>
    <t>978-5-16-016478-6</t>
  </si>
  <si>
    <t>Рекомендовано в качестве учебного пособия для студентов медицинских вузов и системы последипломного профессионального образования врачей по специальности 14.01.17 «Хирургия»</t>
  </si>
  <si>
    <t>413800.08.01</t>
  </si>
  <si>
    <t>Хирургия с сестринским уходом: Уч. пос. / Б.В. Цепунов. - М.: Форум: НИЦ ИНФРА-М,2026 - 576 с.(ПО) (п)</t>
  </si>
  <si>
    <t>ХИРУРГИЯ С СЕСТРИНСКИМ УХОДОМ</t>
  </si>
  <si>
    <t>Цепунов Б. В., Гоженко К. Н., Жиляев Е. А.</t>
  </si>
  <si>
    <t>978-5-91134-700-0</t>
  </si>
  <si>
    <t>31.02.01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</si>
  <si>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</si>
  <si>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</si>
  <si>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693869.05.01</t>
  </si>
  <si>
    <t>Хирургия: Уч. / Б.В.Цепунов и др. - М.:НИЦ ИНФРА-М,2025 - 552 с.(СПО)(П)</t>
  </si>
  <si>
    <t>ХИРУРГИЯ</t>
  </si>
  <si>
    <t>Цепунов Б.В., Гоженко К.Н., Жиляев Е.А.</t>
  </si>
  <si>
    <t>978-5-16-015726-9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</si>
  <si>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</si>
  <si>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689013.04.01</t>
  </si>
  <si>
    <t>Хирургия: эпонимические симптомы и синдромы / Под ред. Колсанова А.В.-М.:НИЦ ИНФРА-М,2022-1111с.(ВО)</t>
  </si>
  <si>
    <t>ХИРУРГИЯ: ЭПОНИМИЧЕСКИЕ СИМПТОМЫ И СИНДРОМЫ</t>
  </si>
  <si>
    <t>Авраменко А.А., Адыширин-Заде Э.Э., Алексеев Д.Г. и др.</t>
  </si>
  <si>
    <t>978-5-16-014119-0</t>
  </si>
  <si>
    <t>803410.01.01</t>
  </si>
  <si>
    <t>Хроническая нейрогенная боль как модификатор злокач. процес. / И.М.Котиева-М.:НИЦ ИНФРА-М,2024.-341 с.(п)</t>
  </si>
  <si>
    <t>ХРОНИЧЕСКАЯ НЕЙРОГЕННАЯ БОЛЬ КАК МОДИФИКАТОР ЗЛОКАЧЕСТВЕННОГО ПРОЦЕССА</t>
  </si>
  <si>
    <t>Котиева И.М.</t>
  </si>
  <si>
    <t>978-5-16-019650-3</t>
  </si>
  <si>
    <t>30.05.01, 30.06.01, 31.05.01, 31.05.02, 31.08.57, 32.05.01</t>
  </si>
  <si>
    <t>АКАДЕМУС-2023, Победитель, II место</t>
  </si>
  <si>
    <t>330700.12.01</t>
  </si>
  <si>
    <t>Частная проктология. Геморрой: Уч.пос. / И.В.Макаров - М.:Форум, НИЦ ИНФРА-М,2026. - 96 с.(ВО)(о)</t>
  </si>
  <si>
    <t>ЧАСТНАЯ ПРОКТОЛОГИЯ. ГЕМОРРОЙ</t>
  </si>
  <si>
    <t>Макаров И.В., Долгих О.Ю.</t>
  </si>
  <si>
    <t>978-5-00091-025-2</t>
  </si>
  <si>
    <t>Рекомендовано в качестве учебного пособия для студентов высших учебных заведений, обучающихся по основным профессиональным образовательным программам высшего образования — программам специалитета «Лечебное дело» и «Педиатрия»</t>
  </si>
  <si>
    <t>423150.06.01</t>
  </si>
  <si>
    <t>Шизофрения и сахарный диабет типа 2...: Уч.пос. / Л.М.Барденштейн - М.: НИЦ ИНФРА-М,2024-83с.(ВО)(о)</t>
  </si>
  <si>
    <t>ШИЗОФРЕНИЯ И САХАРНЫЙ ДИАБЕТ ТИПА 2 (ВОПРОСЫ КОМОРБИДНОСТИ И ПСИХОФАРМАКОТЕРАПИИ)</t>
  </si>
  <si>
    <t>Барденштейн Л. М., Мкртумян А. М., Алешкина Г. А.</t>
  </si>
  <si>
    <t>978-5-16-006573-1</t>
  </si>
  <si>
    <t>846999.01.01</t>
  </si>
  <si>
    <t>Экологическая паразитология: Уч. мет. пос. / Е.М.Бутенкова - М.:НИЦ ИНФРА-М, ГомГМУ,2026. - 190 с.(ВО)(п)</t>
  </si>
  <si>
    <t>ЭКОЛОГИЧЕСКАЯ ПАРАЗИТОЛОГИЯ</t>
  </si>
  <si>
    <t>Бутенкова Е.М., Протасовицкая Р.Н.</t>
  </si>
  <si>
    <t>978-5-16-021005-6</t>
  </si>
  <si>
    <t>834102.01.01</t>
  </si>
  <si>
    <t>Экономика данных: медицинские информац. сис.: Уч.пос. / О.В.Бахарева - М.:НИЦ ИНФРА-М,2025. - 189 с.(ВО)(п)</t>
  </si>
  <si>
    <t>ЭКОНОМИКА ДАННЫХ: МЕДИЦИНСКИЕ ИНФОРМАЦИОННЫЕ СИСТЕМЫ</t>
  </si>
  <si>
    <t>Бахарева О.В., Юсупова А.Р., Альмухаметов А.А.</t>
  </si>
  <si>
    <t>978-5-16-020266-2</t>
  </si>
  <si>
    <t>Рекомендовано Координационным советом по области образования «Здравоохранение и медицинские науки» в качестве учебного пособия для использования в образовательных учреждениях, реализующих основные профессиональные образовательные программы высшего образования по программам бакалавриата 34.03.01 «Сестринское дело»</t>
  </si>
  <si>
    <t>Июнь, 2025</t>
  </si>
  <si>
    <t>219100.03.01</t>
  </si>
  <si>
    <t>Экспертиза вреда здоровью..:Науч.-практ.пос./Под ред. проф. В.А.Клевно-М.:Норма:НИЦ ИНФРА-М,2017-320</t>
  </si>
  <si>
    <t>ЭКСПЕРТИЗА ВРЕДА ЗДОРОВЬЮ. УТРАТА ОБЩЕЙ И ПРОФЕССИОНАЛЬНОЙ ТРУДОСПОСОБНОСТИ</t>
  </si>
  <si>
    <t>Клевно В.А., Пузин С.Н.</t>
  </si>
  <si>
    <t>978-5-91768-405-5</t>
  </si>
  <si>
    <t>Научно-практическое пособие</t>
  </si>
  <si>
    <t>25.03.04, 31.05.01, 31.08.10, 31.08.41, 32.04.01, 32.05.01, 34.03.01, 40.03.01, 40.04.01</t>
  </si>
  <si>
    <t>Бюро судебно-медицинской экспертизы</t>
  </si>
  <si>
    <t>439400.09.01</t>
  </si>
  <si>
    <t>Экспертная деят. в обяз. мед. страхов.: Практ. пос. / А.В.Березников - М.:НИЦ ИНФРА-М,2025. - 184 с.(ВО)(О)</t>
  </si>
  <si>
    <t>ЭКСПЕРТНАЯ ДЕЯТЕЛЬНОСТЬ В ОБЯЗАТЕЛЬНОМ МЕДИЦИНСКОМ СТРАХОВАНИИ</t>
  </si>
  <si>
    <t>Березников А.В., Конев В.П., Онуфрийчук Ю.О. и др.</t>
  </si>
  <si>
    <t>Высшее образование (РЭУ)</t>
  </si>
  <si>
    <t>978-5-16-011353-1</t>
  </si>
  <si>
    <t>Практическое пособие</t>
  </si>
  <si>
    <t>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38.03.01</t>
  </si>
  <si>
    <t>832125.02.01</t>
  </si>
  <si>
    <t>Эпидемиология и вакцинация: Уч.пос. / И.О.Стома - М.:НИЦ ИНФРА-М, ГомГМУ,2026. - 476 с.:цв.ил.(ВО)(п)</t>
  </si>
  <si>
    <t>ЭПИДЕМИОЛОГИЯ И ВАКЦИНАЦИЯ</t>
  </si>
  <si>
    <t>Стома И.О.</t>
  </si>
  <si>
    <t>978-5-16-019998-6</t>
  </si>
  <si>
    <t>20.02.01, 31.05.01, 31.05.02, 32.02.01, 32.05.01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</si>
  <si>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«Лечебное дело», «Педиатрия», «Медико-профилактическое дело», «Медико-диагностическое дело»</t>
  </si>
  <si>
    <t>708231.03.01</t>
  </si>
  <si>
    <t>Этиология, патогенез и лечение рецидивных...: Уч.пос. / В.И.Белоконев - М.:НИЦ ИНФРА-М,2022 - 135 с.(П)</t>
  </si>
  <si>
    <t>ЭТИОЛОГИЯ, ПАТОГЕНЕЗ И ЛЕЧЕНИЕ РЕЦИДИВНЫХ ПОСЛЕОПЕРАЦИОННЫХ ВЕНТРАЛЬНЫХ ГРЫЖ</t>
  </si>
  <si>
    <t>978-5-16-015824-2</t>
  </si>
  <si>
    <t>706962.04.01</t>
  </si>
  <si>
    <t>Этиология, патогенез и основы профилактики семи метабол..: Моногр. / В.Н.Титов - М.:НИЦ ИНФРА-М,2025 - 378 с.(П)</t>
  </si>
  <si>
    <t>ЭТИОЛОГИЯ, ПАТОГЕНЕЗ И ОСНОВЫ ПРОФИЛАКТИКИ СЕМИ МЕТАБОЛИЧЕСКИХ ПАНДЕМИЙ — «БОЛЕЗНЕЙ ЦИВИЛИЗАЦИИ»</t>
  </si>
  <si>
    <t>Титов В.Н., Амелюшкина В.А., Тарасов А.В.</t>
  </si>
  <si>
    <t>978-5-16-015175-5</t>
  </si>
  <si>
    <t>362500.10.01</t>
  </si>
  <si>
    <t>Эффективное общение и предупр. конфл..: Науч.-практ. пос. / Г.Н.Носачев - М.:Форум,НИЦ ИНФРА-М,2025-104с.(О)</t>
  </si>
  <si>
    <t>ЭФФЕКТИВНОЕ ОБЩЕНИЕ И ПРЕДУПРЕЖДЕНИЕ КОНФЛИКТОВ В СИСТЕМЕ «ВРАЧ — ПАЦИЕНТ»</t>
  </si>
  <si>
    <t>Носачев Г.Н.</t>
  </si>
  <si>
    <t>978-5-00091-768-8</t>
  </si>
  <si>
    <t>30.06.01, 30.07.01, 31.05.01, 31.05.02, 31.05.03, 31.06.01, 31.07.01, 31.08.01, 31.08.02, 31.08.03, 31.08.04, 31.08.05, 31.08.06, 31.08.07, 31.08.08, 31.08.09, 31.08.10, 31.08.11, 31.08.12, 31.08.13, 31.08.14, 31.08.15, 31.08.16, 31.08.17, 31.08.18, 31.08.19, 31.08.20, 31.08.21, 31.08.22, 31.08.23, 31.08.24, 31.08.25, 31.08.26, 31.08.27,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</si>
</sst>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&quot;;General"/>
  </numFmts>
  <fonts count="10" x14ac:knownFonts="1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9" fillId="0" borderId="4" xfId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9" fillId="0" borderId="1" xfId="1" applyBorder="1" applyAlignment="1" applyProtection="1">
      <alignment horizontal="left" wrapText="1"/>
    </xf>
    <xf numFmtId="0" fontId="5" fillId="0" borderId="1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B270"/>
  <sheetViews>
    <sheetView tabSelected="1" topLeftCell="A7" workbookViewId="0">
      <selection sqref="A1:E1"/>
    </sheetView>
  </sheetViews>
  <sheetFormatPr defaultColWidth="10.5" defaultRowHeight="11.45" customHeight="1" x14ac:dyDescent="0.2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 x14ac:dyDescent="0.25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 x14ac:dyDescent="0.25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 x14ac:dyDescent="0.25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 x14ac:dyDescent="0.25">
      <c r="A4" s="22" t="str">
        <f>HYPERLINK("mailto:books@infra-m.ru", "mailto:books@infra-m.ru")</f>
        <v>mailto:books@infra-m.ru</v>
      </c>
      <c r="B4" s="23"/>
      <c r="C4" s="23"/>
      <c r="D4" s="23"/>
      <c r="E4" s="23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 x14ac:dyDescent="0.25">
      <c r="A5" s="22" t="str">
        <f>HYPERLINK("https://infra-m.ru", "https://infra-m.ru")</f>
        <v>https://infra-m.ru</v>
      </c>
      <c r="B5" s="23"/>
      <c r="C5" s="23"/>
      <c r="D5" s="23"/>
      <c r="E5" s="23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 x14ac:dyDescent="0.2"/>
    <row r="7" spans="1:28" s="2" customFormat="1" ht="21.95" customHeight="1" x14ac:dyDescent="0.2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51.95" customHeight="1" x14ac:dyDescent="0.2">
      <c r="A8" s="5">
        <v>0</v>
      </c>
      <c r="B8" s="6" t="s">
        <v>34</v>
      </c>
      <c r="C8" s="7">
        <v>1510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/>
      <c r="J8" s="9">
        <v>1</v>
      </c>
      <c r="K8" s="9">
        <v>306</v>
      </c>
      <c r="L8" s="9">
        <v>2024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 t="s">
        <v>46</v>
      </c>
      <c r="T8" s="6"/>
      <c r="U8" s="14" t="str">
        <f>HYPERLINK("https://media.infra-m.ru/2150/2150259/cover/2150259.jpg", "Обложка")</f>
        <v>Обложка</v>
      </c>
      <c r="V8" s="14" t="str">
        <f>HYPERLINK("https://znanium.ru/catalog/product/2150259", "Ознакомиться")</f>
        <v>Ознакомиться</v>
      </c>
      <c r="W8" s="8" t="s">
        <v>47</v>
      </c>
      <c r="X8" s="6"/>
      <c r="Y8" s="6"/>
      <c r="Z8" s="6"/>
      <c r="AA8" s="6" t="s">
        <v>48</v>
      </c>
      <c r="AB8" s="8"/>
    </row>
    <row r="9" spans="1:28" s="4" customFormat="1" ht="42" customHeight="1" x14ac:dyDescent="0.2">
      <c r="A9" s="5">
        <v>0</v>
      </c>
      <c r="B9" s="6" t="s">
        <v>49</v>
      </c>
      <c r="C9" s="7">
        <v>1200</v>
      </c>
      <c r="D9" s="8" t="s">
        <v>50</v>
      </c>
      <c r="E9" s="8" t="s">
        <v>51</v>
      </c>
      <c r="F9" s="8" t="s">
        <v>52</v>
      </c>
      <c r="G9" s="6" t="s">
        <v>53</v>
      </c>
      <c r="H9" s="6" t="s">
        <v>39</v>
      </c>
      <c r="I9" s="8" t="s">
        <v>54</v>
      </c>
      <c r="J9" s="9">
        <v>1</v>
      </c>
      <c r="K9" s="9">
        <v>214</v>
      </c>
      <c r="L9" s="9">
        <v>2025</v>
      </c>
      <c r="M9" s="8" t="s">
        <v>55</v>
      </c>
      <c r="N9" s="8" t="s">
        <v>41</v>
      </c>
      <c r="O9" s="8" t="s">
        <v>42</v>
      </c>
      <c r="P9" s="6" t="s">
        <v>56</v>
      </c>
      <c r="Q9" s="8" t="s">
        <v>44</v>
      </c>
      <c r="R9" s="10" t="s">
        <v>57</v>
      </c>
      <c r="S9" s="11"/>
      <c r="T9" s="6"/>
      <c r="U9" s="14" t="str">
        <f>HYPERLINK("https://media.infra-m.ru/2174/2174716/cover/2174716.jpg", "Обложка")</f>
        <v>Обложка</v>
      </c>
      <c r="V9" s="14" t="str">
        <f>HYPERLINK("https://znanium.ru/catalog/product/2174716", "Ознакомиться")</f>
        <v>Ознакомиться</v>
      </c>
      <c r="W9" s="8" t="s">
        <v>58</v>
      </c>
      <c r="X9" s="6"/>
      <c r="Y9" s="6"/>
      <c r="Z9" s="6"/>
      <c r="AA9" s="6" t="s">
        <v>59</v>
      </c>
      <c r="AB9" s="8"/>
    </row>
    <row r="10" spans="1:28" s="4" customFormat="1" ht="44.1" customHeight="1" x14ac:dyDescent="0.2">
      <c r="A10" s="5">
        <v>0</v>
      </c>
      <c r="B10" s="6" t="s">
        <v>60</v>
      </c>
      <c r="C10" s="13">
        <v>750</v>
      </c>
      <c r="D10" s="8" t="s">
        <v>61</v>
      </c>
      <c r="E10" s="8" t="s">
        <v>62</v>
      </c>
      <c r="F10" s="8" t="s">
        <v>63</v>
      </c>
      <c r="G10" s="6" t="s">
        <v>64</v>
      </c>
      <c r="H10" s="6" t="s">
        <v>39</v>
      </c>
      <c r="I10" s="8" t="s">
        <v>65</v>
      </c>
      <c r="J10" s="9">
        <v>1</v>
      </c>
      <c r="K10" s="9">
        <v>143</v>
      </c>
      <c r="L10" s="9">
        <v>2025</v>
      </c>
      <c r="M10" s="8" t="s">
        <v>66</v>
      </c>
      <c r="N10" s="8" t="s">
        <v>41</v>
      </c>
      <c r="O10" s="8" t="s">
        <v>42</v>
      </c>
      <c r="P10" s="6" t="s">
        <v>67</v>
      </c>
      <c r="Q10" s="8" t="s">
        <v>68</v>
      </c>
      <c r="R10" s="10" t="s">
        <v>69</v>
      </c>
      <c r="S10" s="11"/>
      <c r="T10" s="6"/>
      <c r="U10" s="14" t="str">
        <f>HYPERLINK("https://media.infra-m.ru/2184/2184891/cover/2184891.jpg", "Обложка")</f>
        <v>Обложка</v>
      </c>
      <c r="V10" s="14" t="str">
        <f>HYPERLINK("https://znanium.ru/catalog/product/2184891", "Ознакомиться")</f>
        <v>Ознакомиться</v>
      </c>
      <c r="W10" s="8" t="s">
        <v>70</v>
      </c>
      <c r="X10" s="6"/>
      <c r="Y10" s="6"/>
      <c r="Z10" s="6"/>
      <c r="AA10" s="6" t="s">
        <v>71</v>
      </c>
      <c r="AB10" s="8"/>
    </row>
    <row r="11" spans="1:28" s="4" customFormat="1" ht="51.95" customHeight="1" x14ac:dyDescent="0.2">
      <c r="A11" s="5">
        <v>0</v>
      </c>
      <c r="B11" s="6" t="s">
        <v>72</v>
      </c>
      <c r="C11" s="7">
        <v>1700</v>
      </c>
      <c r="D11" s="8" t="s">
        <v>73</v>
      </c>
      <c r="E11" s="8" t="s">
        <v>74</v>
      </c>
      <c r="F11" s="8" t="s">
        <v>75</v>
      </c>
      <c r="G11" s="6" t="s">
        <v>38</v>
      </c>
      <c r="H11" s="6" t="s">
        <v>39</v>
      </c>
      <c r="I11" s="8" t="s">
        <v>76</v>
      </c>
      <c r="J11" s="9">
        <v>1</v>
      </c>
      <c r="K11" s="9">
        <v>327</v>
      </c>
      <c r="L11" s="9">
        <v>2025</v>
      </c>
      <c r="M11" s="8" t="s">
        <v>77</v>
      </c>
      <c r="N11" s="8" t="s">
        <v>41</v>
      </c>
      <c r="O11" s="8" t="s">
        <v>42</v>
      </c>
      <c r="P11" s="6" t="s">
        <v>43</v>
      </c>
      <c r="Q11" s="8" t="s">
        <v>78</v>
      </c>
      <c r="R11" s="10" t="s">
        <v>79</v>
      </c>
      <c r="S11" s="11" t="s">
        <v>80</v>
      </c>
      <c r="T11" s="6"/>
      <c r="U11" s="14" t="str">
        <f>HYPERLINK("https://media.infra-m.ru/2157/2157887/cover/2157887.jpg", "Обложка")</f>
        <v>Обложка</v>
      </c>
      <c r="V11" s="14" t="str">
        <f>HYPERLINK("https://znanium.ru/catalog/product/2157887", "Ознакомиться")</f>
        <v>Ознакомиться</v>
      </c>
      <c r="W11" s="8" t="s">
        <v>47</v>
      </c>
      <c r="X11" s="6"/>
      <c r="Y11" s="6"/>
      <c r="Z11" s="6"/>
      <c r="AA11" s="6" t="s">
        <v>81</v>
      </c>
      <c r="AB11" s="8"/>
    </row>
    <row r="12" spans="1:28" s="4" customFormat="1" ht="51.95" customHeight="1" x14ac:dyDescent="0.2">
      <c r="A12" s="5">
        <v>0</v>
      </c>
      <c r="B12" s="6" t="s">
        <v>82</v>
      </c>
      <c r="C12" s="7">
        <v>1200</v>
      </c>
      <c r="D12" s="8" t="s">
        <v>83</v>
      </c>
      <c r="E12" s="8" t="s">
        <v>84</v>
      </c>
      <c r="F12" s="8" t="s">
        <v>85</v>
      </c>
      <c r="G12" s="6" t="s">
        <v>38</v>
      </c>
      <c r="H12" s="6" t="s">
        <v>39</v>
      </c>
      <c r="I12" s="8" t="s">
        <v>76</v>
      </c>
      <c r="J12" s="9">
        <v>1</v>
      </c>
      <c r="K12" s="9">
        <v>228</v>
      </c>
      <c r="L12" s="9">
        <v>2025</v>
      </c>
      <c r="M12" s="8" t="s">
        <v>86</v>
      </c>
      <c r="N12" s="8" t="s">
        <v>41</v>
      </c>
      <c r="O12" s="8" t="s">
        <v>42</v>
      </c>
      <c r="P12" s="6" t="s">
        <v>43</v>
      </c>
      <c r="Q12" s="8" t="s">
        <v>87</v>
      </c>
      <c r="R12" s="10" t="s">
        <v>88</v>
      </c>
      <c r="S12" s="11" t="s">
        <v>89</v>
      </c>
      <c r="T12" s="6"/>
      <c r="U12" s="14" t="str">
        <f>HYPERLINK("https://media.infra-m.ru/2167/2167517/cover/2167517.jpg", "Обложка")</f>
        <v>Обложка</v>
      </c>
      <c r="V12" s="14" t="str">
        <f>HYPERLINK("https://znanium.ru/catalog/product/2167517", "Ознакомиться")</f>
        <v>Ознакомиться</v>
      </c>
      <c r="W12" s="8" t="s">
        <v>47</v>
      </c>
      <c r="X12" s="6" t="s">
        <v>90</v>
      </c>
      <c r="Y12" s="6"/>
      <c r="Z12" s="6"/>
      <c r="AA12" s="6" t="s">
        <v>81</v>
      </c>
      <c r="AB12" s="8"/>
    </row>
    <row r="13" spans="1:28" s="4" customFormat="1" ht="42" customHeight="1" x14ac:dyDescent="0.2">
      <c r="A13" s="5">
        <v>0</v>
      </c>
      <c r="B13" s="6" t="s">
        <v>91</v>
      </c>
      <c r="C13" s="13">
        <v>920</v>
      </c>
      <c r="D13" s="8" t="s">
        <v>92</v>
      </c>
      <c r="E13" s="8" t="s">
        <v>93</v>
      </c>
      <c r="F13" s="8" t="s">
        <v>94</v>
      </c>
      <c r="G13" s="6" t="s">
        <v>64</v>
      </c>
      <c r="H13" s="6" t="s">
        <v>95</v>
      </c>
      <c r="I13" s="8" t="s">
        <v>54</v>
      </c>
      <c r="J13" s="9">
        <v>1</v>
      </c>
      <c r="K13" s="9">
        <v>271</v>
      </c>
      <c r="L13" s="9">
        <v>2026</v>
      </c>
      <c r="M13" s="8" t="s">
        <v>96</v>
      </c>
      <c r="N13" s="8" t="s">
        <v>41</v>
      </c>
      <c r="O13" s="8" t="s">
        <v>42</v>
      </c>
      <c r="P13" s="6" t="s">
        <v>56</v>
      </c>
      <c r="Q13" s="8" t="s">
        <v>44</v>
      </c>
      <c r="R13" s="10" t="s">
        <v>97</v>
      </c>
      <c r="S13" s="11"/>
      <c r="T13" s="6"/>
      <c r="U13" s="14" t="str">
        <f>HYPERLINK("https://media.infra-m.ru/2206/2206251/cover/2206251.jpg", "Обложка")</f>
        <v>Обложка</v>
      </c>
      <c r="V13" s="14" t="str">
        <f>HYPERLINK("https://znanium.ru/catalog/product/2206251", "Ознакомиться")</f>
        <v>Ознакомиться</v>
      </c>
      <c r="W13" s="8"/>
      <c r="X13" s="6"/>
      <c r="Y13" s="6"/>
      <c r="Z13" s="6"/>
      <c r="AA13" s="6" t="s">
        <v>98</v>
      </c>
      <c r="AB13" s="8"/>
    </row>
    <row r="14" spans="1:28" s="4" customFormat="1" ht="42" customHeight="1" x14ac:dyDescent="0.2">
      <c r="A14" s="5">
        <v>0</v>
      </c>
      <c r="B14" s="6" t="s">
        <v>99</v>
      </c>
      <c r="C14" s="13">
        <v>734</v>
      </c>
      <c r="D14" s="8" t="s">
        <v>100</v>
      </c>
      <c r="E14" s="8" t="s">
        <v>101</v>
      </c>
      <c r="F14" s="8" t="s">
        <v>102</v>
      </c>
      <c r="G14" s="6" t="s">
        <v>64</v>
      </c>
      <c r="H14" s="6" t="s">
        <v>39</v>
      </c>
      <c r="I14" s="8" t="s">
        <v>103</v>
      </c>
      <c r="J14" s="9">
        <v>1</v>
      </c>
      <c r="K14" s="9">
        <v>148</v>
      </c>
      <c r="L14" s="9">
        <v>2025</v>
      </c>
      <c r="M14" s="8" t="s">
        <v>104</v>
      </c>
      <c r="N14" s="8" t="s">
        <v>41</v>
      </c>
      <c r="O14" s="8" t="s">
        <v>42</v>
      </c>
      <c r="P14" s="6" t="s">
        <v>105</v>
      </c>
      <c r="Q14" s="8" t="s">
        <v>106</v>
      </c>
      <c r="R14" s="10" t="s">
        <v>97</v>
      </c>
      <c r="S14" s="11"/>
      <c r="T14" s="6"/>
      <c r="U14" s="14" t="str">
        <f>HYPERLINK("https://media.infra-m.ru/2170/2170646/cover/2170646.jpg", "Обложка")</f>
        <v>Обложка</v>
      </c>
      <c r="V14" s="14" t="str">
        <f>HYPERLINK("https://znanium.ru/catalog/product/2037424", "Ознакомиться")</f>
        <v>Ознакомиться</v>
      </c>
      <c r="W14" s="8"/>
      <c r="X14" s="6"/>
      <c r="Y14" s="6"/>
      <c r="Z14" s="6"/>
      <c r="AA14" s="6" t="s">
        <v>107</v>
      </c>
      <c r="AB14" s="8"/>
    </row>
    <row r="15" spans="1:28" s="4" customFormat="1" ht="42" customHeight="1" x14ac:dyDescent="0.2">
      <c r="A15" s="5">
        <v>0</v>
      </c>
      <c r="B15" s="6" t="s">
        <v>108</v>
      </c>
      <c r="C15" s="13">
        <v>664.9</v>
      </c>
      <c r="D15" s="8" t="s">
        <v>109</v>
      </c>
      <c r="E15" s="8" t="s">
        <v>110</v>
      </c>
      <c r="F15" s="8" t="s">
        <v>111</v>
      </c>
      <c r="G15" s="6" t="s">
        <v>64</v>
      </c>
      <c r="H15" s="6" t="s">
        <v>39</v>
      </c>
      <c r="I15" s="8" t="s">
        <v>112</v>
      </c>
      <c r="J15" s="9">
        <v>1</v>
      </c>
      <c r="K15" s="9">
        <v>147</v>
      </c>
      <c r="L15" s="9">
        <v>2023</v>
      </c>
      <c r="M15" s="8" t="s">
        <v>113</v>
      </c>
      <c r="N15" s="8" t="s">
        <v>41</v>
      </c>
      <c r="O15" s="8" t="s">
        <v>42</v>
      </c>
      <c r="P15" s="6" t="s">
        <v>105</v>
      </c>
      <c r="Q15" s="8" t="s">
        <v>106</v>
      </c>
      <c r="R15" s="10" t="s">
        <v>97</v>
      </c>
      <c r="S15" s="11"/>
      <c r="T15" s="6"/>
      <c r="U15" s="14" t="str">
        <f>HYPERLINK("https://media.infra-m.ru/1964/1964966/cover/1964966.jpg", "Обложка")</f>
        <v>Обложка</v>
      </c>
      <c r="V15" s="14" t="str">
        <f>HYPERLINK("https://znanium.ru/catalog/product/1005505", "Ознакомиться")</f>
        <v>Ознакомиться</v>
      </c>
      <c r="W15" s="8" t="s">
        <v>114</v>
      </c>
      <c r="X15" s="6"/>
      <c r="Y15" s="6"/>
      <c r="Z15" s="6"/>
      <c r="AA15" s="6" t="s">
        <v>115</v>
      </c>
      <c r="AB15" s="8"/>
    </row>
    <row r="16" spans="1:28" s="4" customFormat="1" ht="51.95" customHeight="1" x14ac:dyDescent="0.2">
      <c r="A16" s="5">
        <v>0</v>
      </c>
      <c r="B16" s="6" t="s">
        <v>116</v>
      </c>
      <c r="C16" s="7">
        <v>2230</v>
      </c>
      <c r="D16" s="8" t="s">
        <v>117</v>
      </c>
      <c r="E16" s="8" t="s">
        <v>118</v>
      </c>
      <c r="F16" s="8" t="s">
        <v>119</v>
      </c>
      <c r="G16" s="6" t="s">
        <v>38</v>
      </c>
      <c r="H16" s="6" t="s">
        <v>39</v>
      </c>
      <c r="I16" s="8" t="s">
        <v>54</v>
      </c>
      <c r="J16" s="9">
        <v>1</v>
      </c>
      <c r="K16" s="9">
        <v>428</v>
      </c>
      <c r="L16" s="9">
        <v>2025</v>
      </c>
      <c r="M16" s="8" t="s">
        <v>120</v>
      </c>
      <c r="N16" s="8" t="s">
        <v>41</v>
      </c>
      <c r="O16" s="8" t="s">
        <v>42</v>
      </c>
      <c r="P16" s="6" t="s">
        <v>56</v>
      </c>
      <c r="Q16" s="8" t="s">
        <v>121</v>
      </c>
      <c r="R16" s="10" t="s">
        <v>122</v>
      </c>
      <c r="S16" s="11" t="s">
        <v>123</v>
      </c>
      <c r="T16" s="6"/>
      <c r="U16" s="14" t="str">
        <f>HYPERLINK("https://media.infra-m.ru/2210/2210307/cover/2210307.jpg", "Обложка")</f>
        <v>Обложка</v>
      </c>
      <c r="V16" s="14" t="str">
        <f>HYPERLINK("https://znanium.ru/catalog/product/419619", "Ознакомиться")</f>
        <v>Ознакомиться</v>
      </c>
      <c r="W16" s="8" t="s">
        <v>124</v>
      </c>
      <c r="X16" s="6"/>
      <c r="Y16" s="6" t="s">
        <v>30</v>
      </c>
      <c r="Z16" s="6"/>
      <c r="AA16" s="6" t="s">
        <v>125</v>
      </c>
      <c r="AB16" s="8"/>
    </row>
    <row r="17" spans="1:28" s="4" customFormat="1" ht="51.95" customHeight="1" x14ac:dyDescent="0.2">
      <c r="A17" s="5">
        <v>0</v>
      </c>
      <c r="B17" s="6" t="s">
        <v>126</v>
      </c>
      <c r="C17" s="13">
        <v>980</v>
      </c>
      <c r="D17" s="8" t="s">
        <v>127</v>
      </c>
      <c r="E17" s="8" t="s">
        <v>128</v>
      </c>
      <c r="F17" s="8" t="s">
        <v>129</v>
      </c>
      <c r="G17" s="6" t="s">
        <v>64</v>
      </c>
      <c r="H17" s="6" t="s">
        <v>39</v>
      </c>
      <c r="I17" s="8" t="s">
        <v>54</v>
      </c>
      <c r="J17" s="9">
        <v>1</v>
      </c>
      <c r="K17" s="9">
        <v>178</v>
      </c>
      <c r="L17" s="9">
        <v>2026</v>
      </c>
      <c r="M17" s="8" t="s">
        <v>130</v>
      </c>
      <c r="N17" s="8" t="s">
        <v>41</v>
      </c>
      <c r="O17" s="8" t="s">
        <v>42</v>
      </c>
      <c r="P17" s="6" t="s">
        <v>131</v>
      </c>
      <c r="Q17" s="8" t="s">
        <v>121</v>
      </c>
      <c r="R17" s="10" t="s">
        <v>132</v>
      </c>
      <c r="S17" s="11" t="s">
        <v>133</v>
      </c>
      <c r="T17" s="6"/>
      <c r="U17" s="14" t="str">
        <f>HYPERLINK("https://media.infra-m.ru/2224/2224084/cover/2224084.jpg", "Обложка")</f>
        <v>Обложка</v>
      </c>
      <c r="V17" s="14" t="str">
        <f>HYPERLINK("https://znanium.ru/catalog/product/2224084", "Ознакомиться")</f>
        <v>Ознакомиться</v>
      </c>
      <c r="W17" s="8" t="s">
        <v>134</v>
      </c>
      <c r="X17" s="6"/>
      <c r="Y17" s="6"/>
      <c r="Z17" s="6"/>
      <c r="AA17" s="6" t="s">
        <v>135</v>
      </c>
      <c r="AB17" s="8"/>
    </row>
    <row r="18" spans="1:28" s="4" customFormat="1" ht="51.95" customHeight="1" x14ac:dyDescent="0.2">
      <c r="A18" s="5">
        <v>0</v>
      </c>
      <c r="B18" s="6" t="s">
        <v>136</v>
      </c>
      <c r="C18" s="13">
        <v>980</v>
      </c>
      <c r="D18" s="8" t="s">
        <v>137</v>
      </c>
      <c r="E18" s="8" t="s">
        <v>128</v>
      </c>
      <c r="F18" s="8" t="s">
        <v>138</v>
      </c>
      <c r="G18" s="6" t="s">
        <v>53</v>
      </c>
      <c r="H18" s="6" t="s">
        <v>39</v>
      </c>
      <c r="I18" s="8" t="s">
        <v>139</v>
      </c>
      <c r="J18" s="9">
        <v>1</v>
      </c>
      <c r="K18" s="9">
        <v>178</v>
      </c>
      <c r="L18" s="9">
        <v>2026</v>
      </c>
      <c r="M18" s="8" t="s">
        <v>140</v>
      </c>
      <c r="N18" s="8" t="s">
        <v>41</v>
      </c>
      <c r="O18" s="8" t="s">
        <v>42</v>
      </c>
      <c r="P18" s="6" t="s">
        <v>131</v>
      </c>
      <c r="Q18" s="8" t="s">
        <v>141</v>
      </c>
      <c r="R18" s="10" t="s">
        <v>142</v>
      </c>
      <c r="S18" s="11" t="s">
        <v>143</v>
      </c>
      <c r="T18" s="6"/>
      <c r="U18" s="14" t="str">
        <f>HYPERLINK("https://media.infra-m.ru/2217/2217049/cover/2217049.jpg", "Обложка")</f>
        <v>Обложка</v>
      </c>
      <c r="V18" s="14" t="str">
        <f>HYPERLINK("https://znanium.ru/catalog/product/2217049", "Ознакомиться")</f>
        <v>Ознакомиться</v>
      </c>
      <c r="W18" s="8" t="s">
        <v>134</v>
      </c>
      <c r="X18" s="6"/>
      <c r="Y18" s="6"/>
      <c r="Z18" s="6" t="s">
        <v>144</v>
      </c>
      <c r="AA18" s="6" t="s">
        <v>107</v>
      </c>
      <c r="AB18" s="8"/>
    </row>
    <row r="19" spans="1:28" s="4" customFormat="1" ht="51.95" customHeight="1" x14ac:dyDescent="0.2">
      <c r="A19" s="5">
        <v>0</v>
      </c>
      <c r="B19" s="6" t="s">
        <v>145</v>
      </c>
      <c r="C19" s="13">
        <v>510</v>
      </c>
      <c r="D19" s="8" t="s">
        <v>146</v>
      </c>
      <c r="E19" s="8" t="s">
        <v>147</v>
      </c>
      <c r="F19" s="8" t="s">
        <v>148</v>
      </c>
      <c r="G19" s="6" t="s">
        <v>64</v>
      </c>
      <c r="H19" s="6" t="s">
        <v>39</v>
      </c>
      <c r="I19" s="8" t="s">
        <v>65</v>
      </c>
      <c r="J19" s="9">
        <v>1</v>
      </c>
      <c r="K19" s="9">
        <v>94</v>
      </c>
      <c r="L19" s="9">
        <v>2025</v>
      </c>
      <c r="M19" s="8" t="s">
        <v>149</v>
      </c>
      <c r="N19" s="8" t="s">
        <v>41</v>
      </c>
      <c r="O19" s="8" t="s">
        <v>42</v>
      </c>
      <c r="P19" s="6" t="s">
        <v>56</v>
      </c>
      <c r="Q19" s="8" t="s">
        <v>87</v>
      </c>
      <c r="R19" s="10" t="s">
        <v>150</v>
      </c>
      <c r="S19" s="11" t="s">
        <v>151</v>
      </c>
      <c r="T19" s="6"/>
      <c r="U19" s="14" t="str">
        <f>HYPERLINK("https://media.infra-m.ru/2175/2175007/cover/2175007.jpg", "Обложка")</f>
        <v>Обложка</v>
      </c>
      <c r="V19" s="14" t="str">
        <f>HYPERLINK("https://znanium.ru/catalog/product/2175007", "Ознакомиться")</f>
        <v>Ознакомиться</v>
      </c>
      <c r="W19" s="8" t="s">
        <v>152</v>
      </c>
      <c r="X19" s="6"/>
      <c r="Y19" s="6"/>
      <c r="Z19" s="6"/>
      <c r="AA19" s="6" t="s">
        <v>71</v>
      </c>
      <c r="AB19" s="8"/>
    </row>
    <row r="20" spans="1:28" s="4" customFormat="1" ht="51.95" customHeight="1" x14ac:dyDescent="0.2">
      <c r="A20" s="5">
        <v>0</v>
      </c>
      <c r="B20" s="6" t="s">
        <v>153</v>
      </c>
      <c r="C20" s="7">
        <v>2210</v>
      </c>
      <c r="D20" s="8" t="s">
        <v>154</v>
      </c>
      <c r="E20" s="8" t="s">
        <v>155</v>
      </c>
      <c r="F20" s="8" t="s">
        <v>156</v>
      </c>
      <c r="G20" s="6" t="s">
        <v>38</v>
      </c>
      <c r="H20" s="6" t="s">
        <v>39</v>
      </c>
      <c r="I20" s="8" t="s">
        <v>139</v>
      </c>
      <c r="J20" s="9">
        <v>1</v>
      </c>
      <c r="K20" s="9">
        <v>424</v>
      </c>
      <c r="L20" s="9">
        <v>2026</v>
      </c>
      <c r="M20" s="8" t="s">
        <v>157</v>
      </c>
      <c r="N20" s="8" t="s">
        <v>41</v>
      </c>
      <c r="O20" s="8" t="s">
        <v>42</v>
      </c>
      <c r="P20" s="6" t="s">
        <v>131</v>
      </c>
      <c r="Q20" s="8" t="s">
        <v>141</v>
      </c>
      <c r="R20" s="10" t="s">
        <v>158</v>
      </c>
      <c r="S20" s="11"/>
      <c r="T20" s="6"/>
      <c r="U20" s="14" t="str">
        <f>HYPERLINK("https://media.infra-m.ru/2216/2216051/cover/2216051.jpg", "Обложка")</f>
        <v>Обложка</v>
      </c>
      <c r="V20" s="14" t="str">
        <f>HYPERLINK("https://znanium.ru/catalog/product/2216051", "Ознакомиться")</f>
        <v>Ознакомиться</v>
      </c>
      <c r="W20" s="8" t="s">
        <v>159</v>
      </c>
      <c r="X20" s="6"/>
      <c r="Y20" s="6"/>
      <c r="Z20" s="6"/>
      <c r="AA20" s="6" t="s">
        <v>48</v>
      </c>
      <c r="AB20" s="8" t="s">
        <v>160</v>
      </c>
    </row>
    <row r="21" spans="1:28" s="4" customFormat="1" ht="51.95" customHeight="1" x14ac:dyDescent="0.2">
      <c r="A21" s="5">
        <v>0</v>
      </c>
      <c r="B21" s="6" t="s">
        <v>161</v>
      </c>
      <c r="C21" s="7">
        <v>2520</v>
      </c>
      <c r="D21" s="8" t="s">
        <v>162</v>
      </c>
      <c r="E21" s="8" t="s">
        <v>163</v>
      </c>
      <c r="F21" s="8" t="s">
        <v>164</v>
      </c>
      <c r="G21" s="6" t="s">
        <v>38</v>
      </c>
      <c r="H21" s="6" t="s">
        <v>39</v>
      </c>
      <c r="I21" s="8" t="s">
        <v>54</v>
      </c>
      <c r="J21" s="9">
        <v>1</v>
      </c>
      <c r="K21" s="9">
        <v>459</v>
      </c>
      <c r="L21" s="9">
        <v>2026</v>
      </c>
      <c r="M21" s="8" t="s">
        <v>165</v>
      </c>
      <c r="N21" s="8" t="s">
        <v>41</v>
      </c>
      <c r="O21" s="8" t="s">
        <v>42</v>
      </c>
      <c r="P21" s="6" t="s">
        <v>56</v>
      </c>
      <c r="Q21" s="8" t="s">
        <v>121</v>
      </c>
      <c r="R21" s="10" t="s">
        <v>166</v>
      </c>
      <c r="S21" s="11" t="s">
        <v>167</v>
      </c>
      <c r="T21" s="6"/>
      <c r="U21" s="14" t="str">
        <f>HYPERLINK("https://media.infra-m.ru/2223/2223795/cover/2223795.jpg", "Обложка")</f>
        <v>Обложка</v>
      </c>
      <c r="V21" s="14" t="str">
        <f>HYPERLINK("https://znanium.ru/catalog/product/2223795", "Ознакомиться")</f>
        <v>Ознакомиться</v>
      </c>
      <c r="W21" s="8" t="s">
        <v>168</v>
      </c>
      <c r="X21" s="6"/>
      <c r="Y21" s="6"/>
      <c r="Z21" s="6"/>
      <c r="AA21" s="6" t="s">
        <v>125</v>
      </c>
      <c r="AB21" s="8"/>
    </row>
    <row r="22" spans="1:28" s="4" customFormat="1" ht="51.95" customHeight="1" x14ac:dyDescent="0.2">
      <c r="A22" s="5">
        <v>0</v>
      </c>
      <c r="B22" s="6" t="s">
        <v>169</v>
      </c>
      <c r="C22" s="13">
        <v>824</v>
      </c>
      <c r="D22" s="8" t="s">
        <v>170</v>
      </c>
      <c r="E22" s="8" t="s">
        <v>171</v>
      </c>
      <c r="F22" s="8" t="s">
        <v>172</v>
      </c>
      <c r="G22" s="6" t="s">
        <v>64</v>
      </c>
      <c r="H22" s="6" t="s">
        <v>39</v>
      </c>
      <c r="I22" s="8" t="s">
        <v>103</v>
      </c>
      <c r="J22" s="9">
        <v>1</v>
      </c>
      <c r="K22" s="9">
        <v>157</v>
      </c>
      <c r="L22" s="9">
        <v>2025</v>
      </c>
      <c r="M22" s="8" t="s">
        <v>173</v>
      </c>
      <c r="N22" s="8" t="s">
        <v>41</v>
      </c>
      <c r="O22" s="8" t="s">
        <v>42</v>
      </c>
      <c r="P22" s="6" t="s">
        <v>105</v>
      </c>
      <c r="Q22" s="8" t="s">
        <v>106</v>
      </c>
      <c r="R22" s="10" t="s">
        <v>174</v>
      </c>
      <c r="S22" s="11"/>
      <c r="T22" s="6"/>
      <c r="U22" s="14" t="str">
        <f>HYPERLINK("https://media.infra-m.ru/2208/2208745/cover/2208745.jpg", "Обложка")</f>
        <v>Обложка</v>
      </c>
      <c r="V22" s="14" t="str">
        <f>HYPERLINK("https://znanium.ru/catalog/product/2114757", "Ознакомиться")</f>
        <v>Ознакомиться</v>
      </c>
      <c r="W22" s="8" t="s">
        <v>175</v>
      </c>
      <c r="X22" s="6"/>
      <c r="Y22" s="6"/>
      <c r="Z22" s="6"/>
      <c r="AA22" s="6" t="s">
        <v>176</v>
      </c>
      <c r="AB22" s="8"/>
    </row>
    <row r="23" spans="1:28" s="4" customFormat="1" ht="42" customHeight="1" x14ac:dyDescent="0.2">
      <c r="A23" s="5">
        <v>0</v>
      </c>
      <c r="B23" s="6" t="s">
        <v>177</v>
      </c>
      <c r="C23" s="13">
        <v>894</v>
      </c>
      <c r="D23" s="8" t="s">
        <v>178</v>
      </c>
      <c r="E23" s="8" t="s">
        <v>179</v>
      </c>
      <c r="F23" s="8" t="s">
        <v>180</v>
      </c>
      <c r="G23" s="6" t="s">
        <v>64</v>
      </c>
      <c r="H23" s="6" t="s">
        <v>39</v>
      </c>
      <c r="I23" s="8" t="s">
        <v>103</v>
      </c>
      <c r="J23" s="9">
        <v>1</v>
      </c>
      <c r="K23" s="9">
        <v>171</v>
      </c>
      <c r="L23" s="9">
        <v>2025</v>
      </c>
      <c r="M23" s="8" t="s">
        <v>181</v>
      </c>
      <c r="N23" s="8" t="s">
        <v>41</v>
      </c>
      <c r="O23" s="8" t="s">
        <v>42</v>
      </c>
      <c r="P23" s="6" t="s">
        <v>105</v>
      </c>
      <c r="Q23" s="8" t="s">
        <v>106</v>
      </c>
      <c r="R23" s="10" t="s">
        <v>182</v>
      </c>
      <c r="S23" s="11"/>
      <c r="T23" s="6"/>
      <c r="U23" s="14" t="str">
        <f>HYPERLINK("https://media.infra-m.ru/2208/2208735/cover/2208735.jpg", "Обложка")</f>
        <v>Обложка</v>
      </c>
      <c r="V23" s="14" t="str">
        <f>HYPERLINK("https://znanium.ru/catalog/product/2096073", "Ознакомиться")</f>
        <v>Ознакомиться</v>
      </c>
      <c r="W23" s="8" t="s">
        <v>183</v>
      </c>
      <c r="X23" s="6"/>
      <c r="Y23" s="6"/>
      <c r="Z23" s="6"/>
      <c r="AA23" s="6" t="s">
        <v>184</v>
      </c>
      <c r="AB23" s="8"/>
    </row>
    <row r="24" spans="1:28" s="4" customFormat="1" ht="51.95" customHeight="1" x14ac:dyDescent="0.2">
      <c r="A24" s="5">
        <v>0</v>
      </c>
      <c r="B24" s="6" t="s">
        <v>185</v>
      </c>
      <c r="C24" s="7">
        <v>1670</v>
      </c>
      <c r="D24" s="8" t="s">
        <v>186</v>
      </c>
      <c r="E24" s="8" t="s">
        <v>187</v>
      </c>
      <c r="F24" s="8" t="s">
        <v>188</v>
      </c>
      <c r="G24" s="6" t="s">
        <v>53</v>
      </c>
      <c r="H24" s="6" t="s">
        <v>39</v>
      </c>
      <c r="I24" s="8" t="s">
        <v>54</v>
      </c>
      <c r="J24" s="9">
        <v>1</v>
      </c>
      <c r="K24" s="9">
        <v>303</v>
      </c>
      <c r="L24" s="9">
        <v>2025</v>
      </c>
      <c r="M24" s="8" t="s">
        <v>189</v>
      </c>
      <c r="N24" s="8" t="s">
        <v>41</v>
      </c>
      <c r="O24" s="8" t="s">
        <v>42</v>
      </c>
      <c r="P24" s="6" t="s">
        <v>56</v>
      </c>
      <c r="Q24" s="8" t="s">
        <v>87</v>
      </c>
      <c r="R24" s="10" t="s">
        <v>88</v>
      </c>
      <c r="S24" s="11" t="s">
        <v>190</v>
      </c>
      <c r="T24" s="6"/>
      <c r="U24" s="14" t="str">
        <f>HYPERLINK("https://media.infra-m.ru/2208/2208737/cover/2208737.jpg", "Обложка")</f>
        <v>Обложка</v>
      </c>
      <c r="V24" s="14" t="str">
        <f>HYPERLINK("https://znanium.ru/catalog/product/2208737", "Ознакомиться")</f>
        <v>Ознакомиться</v>
      </c>
      <c r="W24" s="8" t="s">
        <v>191</v>
      </c>
      <c r="X24" s="6"/>
      <c r="Y24" s="6"/>
      <c r="Z24" s="6"/>
      <c r="AA24" s="6" t="s">
        <v>48</v>
      </c>
      <c r="AB24" s="8" t="s">
        <v>192</v>
      </c>
    </row>
    <row r="25" spans="1:28" s="4" customFormat="1" ht="42" customHeight="1" x14ac:dyDescent="0.2">
      <c r="A25" s="5">
        <v>0</v>
      </c>
      <c r="B25" s="6" t="s">
        <v>193</v>
      </c>
      <c r="C25" s="13">
        <v>730</v>
      </c>
      <c r="D25" s="8" t="s">
        <v>194</v>
      </c>
      <c r="E25" s="8" t="s">
        <v>195</v>
      </c>
      <c r="F25" s="8" t="s">
        <v>196</v>
      </c>
      <c r="G25" s="6" t="s">
        <v>64</v>
      </c>
      <c r="H25" s="6" t="s">
        <v>39</v>
      </c>
      <c r="I25" s="8" t="s">
        <v>76</v>
      </c>
      <c r="J25" s="9">
        <v>1</v>
      </c>
      <c r="K25" s="9">
        <v>115</v>
      </c>
      <c r="L25" s="9">
        <v>2026</v>
      </c>
      <c r="M25" s="8" t="s">
        <v>197</v>
      </c>
      <c r="N25" s="8" t="s">
        <v>41</v>
      </c>
      <c r="O25" s="8" t="s">
        <v>42</v>
      </c>
      <c r="P25" s="6" t="s">
        <v>43</v>
      </c>
      <c r="Q25" s="8" t="s">
        <v>44</v>
      </c>
      <c r="R25" s="10" t="s">
        <v>198</v>
      </c>
      <c r="S25" s="11"/>
      <c r="T25" s="6"/>
      <c r="U25" s="14" t="str">
        <f>HYPERLINK("https://media.infra-m.ru/2221/2221299/cover/2221299.jpg", "Обложка")</f>
        <v>Обложка</v>
      </c>
      <c r="V25" s="14" t="str">
        <f>HYPERLINK("https://znanium.ru/catalog/product/2221299", "Ознакомиться")</f>
        <v>Ознакомиться</v>
      </c>
      <c r="W25" s="8" t="s">
        <v>47</v>
      </c>
      <c r="X25" s="6" t="s">
        <v>199</v>
      </c>
      <c r="Y25" s="6"/>
      <c r="Z25" s="6"/>
      <c r="AA25" s="6" t="s">
        <v>200</v>
      </c>
      <c r="AB25" s="8"/>
    </row>
    <row r="26" spans="1:28" s="4" customFormat="1" ht="44.1" customHeight="1" x14ac:dyDescent="0.2">
      <c r="A26" s="5">
        <v>0</v>
      </c>
      <c r="B26" s="6" t="s">
        <v>201</v>
      </c>
      <c r="C26" s="13">
        <v>700</v>
      </c>
      <c r="D26" s="8" t="s">
        <v>202</v>
      </c>
      <c r="E26" s="8" t="s">
        <v>203</v>
      </c>
      <c r="F26" s="8" t="s">
        <v>204</v>
      </c>
      <c r="G26" s="6" t="s">
        <v>64</v>
      </c>
      <c r="H26" s="6" t="s">
        <v>39</v>
      </c>
      <c r="I26" s="8" t="s">
        <v>103</v>
      </c>
      <c r="J26" s="9">
        <v>1</v>
      </c>
      <c r="K26" s="9">
        <v>152</v>
      </c>
      <c r="L26" s="9">
        <v>2024</v>
      </c>
      <c r="M26" s="8" t="s">
        <v>205</v>
      </c>
      <c r="N26" s="8" t="s">
        <v>41</v>
      </c>
      <c r="O26" s="8" t="s">
        <v>42</v>
      </c>
      <c r="P26" s="6" t="s">
        <v>105</v>
      </c>
      <c r="Q26" s="8" t="s">
        <v>106</v>
      </c>
      <c r="R26" s="10" t="s">
        <v>206</v>
      </c>
      <c r="S26" s="11"/>
      <c r="T26" s="6"/>
      <c r="U26" s="14" t="str">
        <f>HYPERLINK("https://media.infra-m.ru/2053/2053191/cover/2053191.jpg", "Обложка")</f>
        <v>Обложка</v>
      </c>
      <c r="V26" s="14" t="str">
        <f>HYPERLINK("https://znanium.ru/catalog/product/2053191", "Ознакомиться")</f>
        <v>Ознакомиться</v>
      </c>
      <c r="W26" s="8" t="s">
        <v>175</v>
      </c>
      <c r="X26" s="6"/>
      <c r="Y26" s="6"/>
      <c r="Z26" s="6"/>
      <c r="AA26" s="6" t="s">
        <v>184</v>
      </c>
      <c r="AB26" s="8"/>
    </row>
    <row r="27" spans="1:28" s="4" customFormat="1" ht="42" customHeight="1" x14ac:dyDescent="0.2">
      <c r="A27" s="5">
        <v>0</v>
      </c>
      <c r="B27" s="6" t="s">
        <v>207</v>
      </c>
      <c r="C27" s="13">
        <v>784.9</v>
      </c>
      <c r="D27" s="8" t="s">
        <v>208</v>
      </c>
      <c r="E27" s="8" t="s">
        <v>209</v>
      </c>
      <c r="F27" s="8" t="s">
        <v>210</v>
      </c>
      <c r="G27" s="6" t="s">
        <v>64</v>
      </c>
      <c r="H27" s="6" t="s">
        <v>39</v>
      </c>
      <c r="I27" s="8" t="s">
        <v>103</v>
      </c>
      <c r="J27" s="9">
        <v>1</v>
      </c>
      <c r="K27" s="9">
        <v>200</v>
      </c>
      <c r="L27" s="9">
        <v>2022</v>
      </c>
      <c r="M27" s="8" t="s">
        <v>211</v>
      </c>
      <c r="N27" s="8" t="s">
        <v>41</v>
      </c>
      <c r="O27" s="8" t="s">
        <v>42</v>
      </c>
      <c r="P27" s="6" t="s">
        <v>105</v>
      </c>
      <c r="Q27" s="8" t="s">
        <v>106</v>
      </c>
      <c r="R27" s="10" t="s">
        <v>97</v>
      </c>
      <c r="S27" s="11"/>
      <c r="T27" s="6"/>
      <c r="U27" s="14" t="str">
        <f>HYPERLINK("https://media.infra-m.ru/1859/1859043/cover/1859043.jpg", "Обложка")</f>
        <v>Обложка</v>
      </c>
      <c r="V27" s="14" t="str">
        <f>HYPERLINK("https://znanium.ru/catalog/product/1044596", "Ознакомиться")</f>
        <v>Ознакомиться</v>
      </c>
      <c r="W27" s="8" t="s">
        <v>168</v>
      </c>
      <c r="X27" s="6"/>
      <c r="Y27" s="6"/>
      <c r="Z27" s="6"/>
      <c r="AA27" s="6" t="s">
        <v>107</v>
      </c>
      <c r="AB27" s="8"/>
    </row>
    <row r="28" spans="1:28" s="4" customFormat="1" ht="51.95" customHeight="1" x14ac:dyDescent="0.2">
      <c r="A28" s="5">
        <v>0</v>
      </c>
      <c r="B28" s="6" t="s">
        <v>212</v>
      </c>
      <c r="C28" s="7">
        <v>1530</v>
      </c>
      <c r="D28" s="8" t="s">
        <v>213</v>
      </c>
      <c r="E28" s="8" t="s">
        <v>214</v>
      </c>
      <c r="F28" s="8" t="s">
        <v>215</v>
      </c>
      <c r="G28" s="6" t="s">
        <v>53</v>
      </c>
      <c r="H28" s="6" t="s">
        <v>39</v>
      </c>
      <c r="I28" s="8" t="s">
        <v>54</v>
      </c>
      <c r="J28" s="9">
        <v>1</v>
      </c>
      <c r="K28" s="9">
        <v>288</v>
      </c>
      <c r="L28" s="9">
        <v>2025</v>
      </c>
      <c r="M28" s="8" t="s">
        <v>216</v>
      </c>
      <c r="N28" s="8" t="s">
        <v>41</v>
      </c>
      <c r="O28" s="8" t="s">
        <v>42</v>
      </c>
      <c r="P28" s="6" t="s">
        <v>131</v>
      </c>
      <c r="Q28" s="8" t="s">
        <v>87</v>
      </c>
      <c r="R28" s="10" t="s">
        <v>217</v>
      </c>
      <c r="S28" s="11" t="s">
        <v>218</v>
      </c>
      <c r="T28" s="6"/>
      <c r="U28" s="14" t="str">
        <f>HYPERLINK("https://media.infra-m.ru/2209/2209102/cover/2209102.jpg", "Обложка")</f>
        <v>Обложка</v>
      </c>
      <c r="V28" s="14" t="str">
        <f>HYPERLINK("https://znanium.ru/catalog/product/2209102", "Ознакомиться")</f>
        <v>Ознакомиться</v>
      </c>
      <c r="W28" s="8" t="s">
        <v>219</v>
      </c>
      <c r="X28" s="6"/>
      <c r="Y28" s="6"/>
      <c r="Z28" s="6"/>
      <c r="AA28" s="6" t="s">
        <v>220</v>
      </c>
      <c r="AB28" s="8"/>
    </row>
    <row r="29" spans="1:28" s="4" customFormat="1" ht="51.95" customHeight="1" x14ac:dyDescent="0.2">
      <c r="A29" s="5">
        <v>0</v>
      </c>
      <c r="B29" s="6" t="s">
        <v>221</v>
      </c>
      <c r="C29" s="7">
        <v>1660</v>
      </c>
      <c r="D29" s="8" t="s">
        <v>222</v>
      </c>
      <c r="E29" s="8" t="s">
        <v>223</v>
      </c>
      <c r="F29" s="8" t="s">
        <v>224</v>
      </c>
      <c r="G29" s="6" t="s">
        <v>38</v>
      </c>
      <c r="H29" s="6" t="s">
        <v>39</v>
      </c>
      <c r="I29" s="8" t="s">
        <v>76</v>
      </c>
      <c r="J29" s="9">
        <v>1</v>
      </c>
      <c r="K29" s="9">
        <v>319</v>
      </c>
      <c r="L29" s="9">
        <v>2025</v>
      </c>
      <c r="M29" s="8" t="s">
        <v>225</v>
      </c>
      <c r="N29" s="8" t="s">
        <v>41</v>
      </c>
      <c r="O29" s="8" t="s">
        <v>42</v>
      </c>
      <c r="P29" s="6" t="s">
        <v>43</v>
      </c>
      <c r="Q29" s="8" t="s">
        <v>44</v>
      </c>
      <c r="R29" s="10" t="s">
        <v>226</v>
      </c>
      <c r="S29" s="11" t="s">
        <v>227</v>
      </c>
      <c r="T29" s="6"/>
      <c r="U29" s="14" t="str">
        <f>HYPERLINK("https://media.infra-m.ru/2150/2150314/cover/2150314.jpg", "Обложка")</f>
        <v>Обложка</v>
      </c>
      <c r="V29" s="14" t="str">
        <f>HYPERLINK("https://znanium.ru/catalog/product/2150314", "Ознакомиться")</f>
        <v>Ознакомиться</v>
      </c>
      <c r="W29" s="8" t="s">
        <v>47</v>
      </c>
      <c r="X29" s="6"/>
      <c r="Y29" s="6"/>
      <c r="Z29" s="6"/>
      <c r="AA29" s="6" t="s">
        <v>81</v>
      </c>
      <c r="AB29" s="8"/>
    </row>
    <row r="30" spans="1:28" s="4" customFormat="1" ht="51.95" customHeight="1" x14ac:dyDescent="0.2">
      <c r="A30" s="5">
        <v>0</v>
      </c>
      <c r="B30" s="6" t="s">
        <v>228</v>
      </c>
      <c r="C30" s="13">
        <v>864</v>
      </c>
      <c r="D30" s="8" t="s">
        <v>229</v>
      </c>
      <c r="E30" s="8" t="s">
        <v>223</v>
      </c>
      <c r="F30" s="8" t="s">
        <v>230</v>
      </c>
      <c r="G30" s="6" t="s">
        <v>53</v>
      </c>
      <c r="H30" s="6" t="s">
        <v>39</v>
      </c>
      <c r="I30" s="8" t="s">
        <v>139</v>
      </c>
      <c r="J30" s="9">
        <v>1</v>
      </c>
      <c r="K30" s="9">
        <v>172</v>
      </c>
      <c r="L30" s="9">
        <v>2024</v>
      </c>
      <c r="M30" s="8" t="s">
        <v>231</v>
      </c>
      <c r="N30" s="8" t="s">
        <v>41</v>
      </c>
      <c r="O30" s="8" t="s">
        <v>42</v>
      </c>
      <c r="P30" s="6" t="s">
        <v>56</v>
      </c>
      <c r="Q30" s="8" t="s">
        <v>141</v>
      </c>
      <c r="R30" s="10" t="s">
        <v>232</v>
      </c>
      <c r="S30" s="11" t="s">
        <v>233</v>
      </c>
      <c r="T30" s="6"/>
      <c r="U30" s="14" t="str">
        <f>HYPERLINK("https://media.infra-m.ru/2083/2083826/cover/2083826.jpg", "Обложка")</f>
        <v>Обложка</v>
      </c>
      <c r="V30" s="14" t="str">
        <f>HYPERLINK("https://znanium.ru/catalog/product/2158058", "Ознакомиться")</f>
        <v>Ознакомиться</v>
      </c>
      <c r="W30" s="8" t="s">
        <v>234</v>
      </c>
      <c r="X30" s="6"/>
      <c r="Y30" s="6"/>
      <c r="Z30" s="6"/>
      <c r="AA30" s="6" t="s">
        <v>115</v>
      </c>
      <c r="AB30" s="8"/>
    </row>
    <row r="31" spans="1:28" s="4" customFormat="1" ht="51.95" customHeight="1" x14ac:dyDescent="0.2">
      <c r="A31" s="5">
        <v>0</v>
      </c>
      <c r="B31" s="6" t="s">
        <v>235</v>
      </c>
      <c r="C31" s="7">
        <v>1030</v>
      </c>
      <c r="D31" s="8" t="s">
        <v>236</v>
      </c>
      <c r="E31" s="8" t="s">
        <v>214</v>
      </c>
      <c r="F31" s="8" t="s">
        <v>230</v>
      </c>
      <c r="G31" s="6" t="s">
        <v>53</v>
      </c>
      <c r="H31" s="6" t="s">
        <v>39</v>
      </c>
      <c r="I31" s="8" t="s">
        <v>139</v>
      </c>
      <c r="J31" s="9">
        <v>1</v>
      </c>
      <c r="K31" s="9">
        <v>193</v>
      </c>
      <c r="L31" s="9">
        <v>2025</v>
      </c>
      <c r="M31" s="8" t="s">
        <v>237</v>
      </c>
      <c r="N31" s="8" t="s">
        <v>41</v>
      </c>
      <c r="O31" s="8" t="s">
        <v>42</v>
      </c>
      <c r="P31" s="6" t="s">
        <v>56</v>
      </c>
      <c r="Q31" s="8" t="s">
        <v>141</v>
      </c>
      <c r="R31" s="10" t="s">
        <v>232</v>
      </c>
      <c r="S31" s="11" t="s">
        <v>233</v>
      </c>
      <c r="T31" s="6"/>
      <c r="U31" s="14" t="str">
        <f>HYPERLINK("https://media.infra-m.ru/2158/2158058/cover/2158058.jpg", "Обложка")</f>
        <v>Обложка</v>
      </c>
      <c r="V31" s="14" t="str">
        <f>HYPERLINK("https://znanium.ru/catalog/product/2158058", "Ознакомиться")</f>
        <v>Ознакомиться</v>
      </c>
      <c r="W31" s="8" t="s">
        <v>234</v>
      </c>
      <c r="X31" s="6" t="s">
        <v>238</v>
      </c>
      <c r="Y31" s="6"/>
      <c r="Z31" s="6"/>
      <c r="AA31" s="6" t="s">
        <v>239</v>
      </c>
      <c r="AB31" s="8"/>
    </row>
    <row r="32" spans="1:28" s="4" customFormat="1" ht="42" customHeight="1" x14ac:dyDescent="0.2">
      <c r="A32" s="5">
        <v>0</v>
      </c>
      <c r="B32" s="6" t="s">
        <v>240</v>
      </c>
      <c r="C32" s="13">
        <v>594</v>
      </c>
      <c r="D32" s="8" t="s">
        <v>241</v>
      </c>
      <c r="E32" s="8" t="s">
        <v>242</v>
      </c>
      <c r="F32" s="8" t="s">
        <v>243</v>
      </c>
      <c r="G32" s="6" t="s">
        <v>64</v>
      </c>
      <c r="H32" s="6" t="s">
        <v>39</v>
      </c>
      <c r="I32" s="8" t="s">
        <v>244</v>
      </c>
      <c r="J32" s="9">
        <v>1</v>
      </c>
      <c r="K32" s="9">
        <v>110</v>
      </c>
      <c r="L32" s="9">
        <v>2026</v>
      </c>
      <c r="M32" s="8" t="s">
        <v>245</v>
      </c>
      <c r="N32" s="8" t="s">
        <v>41</v>
      </c>
      <c r="O32" s="8" t="s">
        <v>42</v>
      </c>
      <c r="P32" s="6" t="s">
        <v>246</v>
      </c>
      <c r="Q32" s="8" t="s">
        <v>106</v>
      </c>
      <c r="R32" s="10" t="s">
        <v>247</v>
      </c>
      <c r="S32" s="11"/>
      <c r="T32" s="6"/>
      <c r="U32" s="14" t="str">
        <f>HYPERLINK("https://media.infra-m.ru/2213/2213198/cover/2213198.jpg", "Обложка")</f>
        <v>Обложка</v>
      </c>
      <c r="V32" s="14" t="str">
        <f>HYPERLINK("https://znanium.ru/catalog/product/2030818", "Ознакомиться")</f>
        <v>Ознакомиться</v>
      </c>
      <c r="W32" s="8" t="s">
        <v>248</v>
      </c>
      <c r="X32" s="6"/>
      <c r="Y32" s="6"/>
      <c r="Z32" s="6"/>
      <c r="AA32" s="6" t="s">
        <v>176</v>
      </c>
      <c r="AB32" s="8"/>
    </row>
    <row r="33" spans="1:28" s="4" customFormat="1" ht="51.95" customHeight="1" x14ac:dyDescent="0.2">
      <c r="A33" s="5">
        <v>0</v>
      </c>
      <c r="B33" s="6" t="s">
        <v>249</v>
      </c>
      <c r="C33" s="7">
        <v>1350</v>
      </c>
      <c r="D33" s="8" t="s">
        <v>250</v>
      </c>
      <c r="E33" s="8" t="s">
        <v>251</v>
      </c>
      <c r="F33" s="8" t="s">
        <v>243</v>
      </c>
      <c r="G33" s="6" t="s">
        <v>53</v>
      </c>
      <c r="H33" s="6" t="s">
        <v>39</v>
      </c>
      <c r="I33" s="8" t="s">
        <v>54</v>
      </c>
      <c r="J33" s="9">
        <v>1</v>
      </c>
      <c r="K33" s="9">
        <v>253</v>
      </c>
      <c r="L33" s="9">
        <v>2026</v>
      </c>
      <c r="M33" s="8" t="s">
        <v>252</v>
      </c>
      <c r="N33" s="8" t="s">
        <v>41</v>
      </c>
      <c r="O33" s="8" t="s">
        <v>42</v>
      </c>
      <c r="P33" s="6" t="s">
        <v>56</v>
      </c>
      <c r="Q33" s="8" t="s">
        <v>121</v>
      </c>
      <c r="R33" s="10" t="s">
        <v>253</v>
      </c>
      <c r="S33" s="11" t="s">
        <v>254</v>
      </c>
      <c r="T33" s="6"/>
      <c r="U33" s="14" t="str">
        <f>HYPERLINK("https://media.infra-m.ru/2216/2216056/cover/2216056.jpg", "Обложка")</f>
        <v>Обложка</v>
      </c>
      <c r="V33" s="14" t="str">
        <f>HYPERLINK("https://znanium.ru/catalog/product/2216056", "Ознакомиться")</f>
        <v>Ознакомиться</v>
      </c>
      <c r="W33" s="8" t="s">
        <v>248</v>
      </c>
      <c r="X33" s="6"/>
      <c r="Y33" s="6"/>
      <c r="Z33" s="6"/>
      <c r="AA33" s="6" t="s">
        <v>255</v>
      </c>
      <c r="AB33" s="8"/>
    </row>
    <row r="34" spans="1:28" s="4" customFormat="1" ht="51.95" customHeight="1" x14ac:dyDescent="0.2">
      <c r="A34" s="5">
        <v>0</v>
      </c>
      <c r="B34" s="6" t="s">
        <v>256</v>
      </c>
      <c r="C34" s="13">
        <v>974</v>
      </c>
      <c r="D34" s="8" t="s">
        <v>257</v>
      </c>
      <c r="E34" s="8" t="s">
        <v>258</v>
      </c>
      <c r="F34" s="8" t="s">
        <v>259</v>
      </c>
      <c r="G34" s="6" t="s">
        <v>53</v>
      </c>
      <c r="H34" s="6" t="s">
        <v>39</v>
      </c>
      <c r="I34" s="8"/>
      <c r="J34" s="9">
        <v>1</v>
      </c>
      <c r="K34" s="9">
        <v>186</v>
      </c>
      <c r="L34" s="9">
        <v>2025</v>
      </c>
      <c r="M34" s="8" t="s">
        <v>260</v>
      </c>
      <c r="N34" s="8" t="s">
        <v>41</v>
      </c>
      <c r="O34" s="8" t="s">
        <v>42</v>
      </c>
      <c r="P34" s="6" t="s">
        <v>105</v>
      </c>
      <c r="Q34" s="8" t="s">
        <v>106</v>
      </c>
      <c r="R34" s="10" t="s">
        <v>261</v>
      </c>
      <c r="S34" s="11"/>
      <c r="T34" s="6"/>
      <c r="U34" s="14" t="str">
        <f>HYPERLINK("https://media.infra-m.ru/2201/2201902/cover/2201902.jpg", "Обложка")</f>
        <v>Обложка</v>
      </c>
      <c r="V34" s="14" t="str">
        <f>HYPERLINK("https://znanium.ru/catalog/product/1898762", "Ознакомиться")</f>
        <v>Ознакомиться</v>
      </c>
      <c r="W34" s="8" t="s">
        <v>262</v>
      </c>
      <c r="X34" s="6"/>
      <c r="Y34" s="6"/>
      <c r="Z34" s="6"/>
      <c r="AA34" s="6" t="s">
        <v>115</v>
      </c>
      <c r="AB34" s="8"/>
    </row>
    <row r="35" spans="1:28" s="4" customFormat="1" ht="51.95" customHeight="1" x14ac:dyDescent="0.2">
      <c r="A35" s="5">
        <v>0</v>
      </c>
      <c r="B35" s="6" t="s">
        <v>263</v>
      </c>
      <c r="C35" s="7">
        <v>2390</v>
      </c>
      <c r="D35" s="8" t="s">
        <v>264</v>
      </c>
      <c r="E35" s="8" t="s">
        <v>265</v>
      </c>
      <c r="F35" s="8" t="s">
        <v>266</v>
      </c>
      <c r="G35" s="6" t="s">
        <v>53</v>
      </c>
      <c r="H35" s="6" t="s">
        <v>267</v>
      </c>
      <c r="I35" s="8"/>
      <c r="J35" s="9">
        <v>1</v>
      </c>
      <c r="K35" s="9">
        <v>344</v>
      </c>
      <c r="L35" s="9">
        <v>2023</v>
      </c>
      <c r="M35" s="8" t="s">
        <v>268</v>
      </c>
      <c r="N35" s="8" t="s">
        <v>41</v>
      </c>
      <c r="O35" s="8" t="s">
        <v>42</v>
      </c>
      <c r="P35" s="6" t="s">
        <v>56</v>
      </c>
      <c r="Q35" s="8" t="s">
        <v>121</v>
      </c>
      <c r="R35" s="10" t="s">
        <v>269</v>
      </c>
      <c r="S35" s="11" t="s">
        <v>270</v>
      </c>
      <c r="T35" s="6"/>
      <c r="U35" s="14" t="str">
        <f>HYPERLINK("https://media.infra-m.ru/1905/1905726/cover/1905726.jpg", "Обложка")</f>
        <v>Обложка</v>
      </c>
      <c r="V35" s="14" t="str">
        <f>HYPERLINK("https://znanium.ru/catalog/product/1905726", "Ознакомиться")</f>
        <v>Ознакомиться</v>
      </c>
      <c r="W35" s="8" t="s">
        <v>271</v>
      </c>
      <c r="X35" s="6"/>
      <c r="Y35" s="6"/>
      <c r="Z35" s="6"/>
      <c r="AA35" s="6" t="s">
        <v>272</v>
      </c>
      <c r="AB35" s="8"/>
    </row>
    <row r="36" spans="1:28" s="4" customFormat="1" ht="42" customHeight="1" x14ac:dyDescent="0.2">
      <c r="A36" s="5">
        <v>0</v>
      </c>
      <c r="B36" s="6" t="s">
        <v>273</v>
      </c>
      <c r="C36" s="13">
        <v>804</v>
      </c>
      <c r="D36" s="8" t="s">
        <v>274</v>
      </c>
      <c r="E36" s="8" t="s">
        <v>275</v>
      </c>
      <c r="F36" s="8" t="s">
        <v>276</v>
      </c>
      <c r="G36" s="6" t="s">
        <v>64</v>
      </c>
      <c r="H36" s="6" t="s">
        <v>277</v>
      </c>
      <c r="I36" s="8" t="s">
        <v>278</v>
      </c>
      <c r="J36" s="9">
        <v>1</v>
      </c>
      <c r="K36" s="9">
        <v>160</v>
      </c>
      <c r="L36" s="9">
        <v>2025</v>
      </c>
      <c r="M36" s="8" t="s">
        <v>279</v>
      </c>
      <c r="N36" s="8" t="s">
        <v>41</v>
      </c>
      <c r="O36" s="8" t="s">
        <v>42</v>
      </c>
      <c r="P36" s="6" t="s">
        <v>105</v>
      </c>
      <c r="Q36" s="8" t="s">
        <v>106</v>
      </c>
      <c r="R36" s="10" t="s">
        <v>198</v>
      </c>
      <c r="S36" s="11"/>
      <c r="T36" s="6"/>
      <c r="U36" s="14" t="str">
        <f>HYPERLINK("https://media.infra-m.ru/2163/2163989/cover/2163989.jpg", "Обложка")</f>
        <v>Обложка</v>
      </c>
      <c r="V36" s="14" t="str">
        <f>HYPERLINK("https://znanium.ru/catalog/product/1857236", "Ознакомиться")</f>
        <v>Ознакомиться</v>
      </c>
      <c r="W36" s="8" t="s">
        <v>175</v>
      </c>
      <c r="X36" s="6"/>
      <c r="Y36" s="6"/>
      <c r="Z36" s="6"/>
      <c r="AA36" s="6" t="s">
        <v>135</v>
      </c>
      <c r="AB36" s="8"/>
    </row>
    <row r="37" spans="1:28" s="4" customFormat="1" ht="51.95" customHeight="1" x14ac:dyDescent="0.2">
      <c r="A37" s="5">
        <v>0</v>
      </c>
      <c r="B37" s="6" t="s">
        <v>280</v>
      </c>
      <c r="C37" s="13">
        <v>824</v>
      </c>
      <c r="D37" s="8" t="s">
        <v>281</v>
      </c>
      <c r="E37" s="8" t="s">
        <v>282</v>
      </c>
      <c r="F37" s="8" t="s">
        <v>215</v>
      </c>
      <c r="G37" s="6" t="s">
        <v>64</v>
      </c>
      <c r="H37" s="6" t="s">
        <v>39</v>
      </c>
      <c r="I37" s="8" t="s">
        <v>283</v>
      </c>
      <c r="J37" s="9">
        <v>1</v>
      </c>
      <c r="K37" s="9">
        <v>157</v>
      </c>
      <c r="L37" s="9">
        <v>2025</v>
      </c>
      <c r="M37" s="8" t="s">
        <v>284</v>
      </c>
      <c r="N37" s="8" t="s">
        <v>41</v>
      </c>
      <c r="O37" s="8" t="s">
        <v>42</v>
      </c>
      <c r="P37" s="6" t="s">
        <v>56</v>
      </c>
      <c r="Q37" s="8" t="s">
        <v>87</v>
      </c>
      <c r="R37" s="10" t="s">
        <v>285</v>
      </c>
      <c r="S37" s="11" t="s">
        <v>286</v>
      </c>
      <c r="T37" s="6"/>
      <c r="U37" s="14" t="str">
        <f>HYPERLINK("https://media.infra-m.ru/2202/2202178/cover/2202178.jpg", "Обложка")</f>
        <v>Обложка</v>
      </c>
      <c r="V37" s="14" t="str">
        <f>HYPERLINK("https://znanium.ru/catalog/product/2131863", "Ознакомиться")</f>
        <v>Ознакомиться</v>
      </c>
      <c r="W37" s="8" t="s">
        <v>219</v>
      </c>
      <c r="X37" s="6"/>
      <c r="Y37" s="6"/>
      <c r="Z37" s="6"/>
      <c r="AA37" s="6" t="s">
        <v>135</v>
      </c>
      <c r="AB37" s="8"/>
    </row>
    <row r="38" spans="1:28" s="4" customFormat="1" ht="51.95" customHeight="1" x14ac:dyDescent="0.2">
      <c r="A38" s="5">
        <v>0</v>
      </c>
      <c r="B38" s="6" t="s">
        <v>287</v>
      </c>
      <c r="C38" s="7">
        <v>2380</v>
      </c>
      <c r="D38" s="8" t="s">
        <v>288</v>
      </c>
      <c r="E38" s="8" t="s">
        <v>289</v>
      </c>
      <c r="F38" s="8" t="s">
        <v>290</v>
      </c>
      <c r="G38" s="6" t="s">
        <v>38</v>
      </c>
      <c r="H38" s="6" t="s">
        <v>39</v>
      </c>
      <c r="I38" s="8" t="s">
        <v>76</v>
      </c>
      <c r="J38" s="9">
        <v>1</v>
      </c>
      <c r="K38" s="9">
        <v>474</v>
      </c>
      <c r="L38" s="9">
        <v>2025</v>
      </c>
      <c r="M38" s="8" t="s">
        <v>291</v>
      </c>
      <c r="N38" s="8" t="s">
        <v>41</v>
      </c>
      <c r="O38" s="8" t="s">
        <v>42</v>
      </c>
      <c r="P38" s="6" t="s">
        <v>43</v>
      </c>
      <c r="Q38" s="8" t="s">
        <v>87</v>
      </c>
      <c r="R38" s="10" t="s">
        <v>292</v>
      </c>
      <c r="S38" s="11" t="s">
        <v>227</v>
      </c>
      <c r="T38" s="6"/>
      <c r="U38" s="14" t="str">
        <f>HYPERLINK("https://media.infra-m.ru/2150/2150298/cover/2150298.jpg", "Обложка")</f>
        <v>Обложка</v>
      </c>
      <c r="V38" s="14" t="str">
        <f>HYPERLINK("https://znanium.ru/catalog/product/2150298", "Ознакомиться")</f>
        <v>Ознакомиться</v>
      </c>
      <c r="W38" s="8" t="s">
        <v>47</v>
      </c>
      <c r="X38" s="6"/>
      <c r="Y38" s="6"/>
      <c r="Z38" s="6"/>
      <c r="AA38" s="6" t="s">
        <v>81</v>
      </c>
      <c r="AB38" s="8"/>
    </row>
    <row r="39" spans="1:28" s="4" customFormat="1" ht="42" customHeight="1" x14ac:dyDescent="0.2">
      <c r="A39" s="5">
        <v>0</v>
      </c>
      <c r="B39" s="6" t="s">
        <v>293</v>
      </c>
      <c r="C39" s="13">
        <v>214.9</v>
      </c>
      <c r="D39" s="8" t="s">
        <v>294</v>
      </c>
      <c r="E39" s="8" t="s">
        <v>295</v>
      </c>
      <c r="F39" s="8" t="s">
        <v>296</v>
      </c>
      <c r="G39" s="6" t="s">
        <v>64</v>
      </c>
      <c r="H39" s="6" t="s">
        <v>39</v>
      </c>
      <c r="I39" s="8" t="s">
        <v>103</v>
      </c>
      <c r="J39" s="9">
        <v>1</v>
      </c>
      <c r="K39" s="9">
        <v>68</v>
      </c>
      <c r="L39" s="9">
        <v>2017</v>
      </c>
      <c r="M39" s="8" t="s">
        <v>297</v>
      </c>
      <c r="N39" s="8" t="s">
        <v>41</v>
      </c>
      <c r="O39" s="8" t="s">
        <v>42</v>
      </c>
      <c r="P39" s="6" t="s">
        <v>105</v>
      </c>
      <c r="Q39" s="8" t="s">
        <v>106</v>
      </c>
      <c r="R39" s="10" t="s">
        <v>97</v>
      </c>
      <c r="S39" s="11"/>
      <c r="T39" s="6"/>
      <c r="U39" s="14" t="str">
        <f>HYPERLINK("https://media.infra-m.ru/0773/0773461/cover/773461.jpg", "Обложка")</f>
        <v>Обложка</v>
      </c>
      <c r="V39" s="12"/>
      <c r="W39" s="8" t="s">
        <v>298</v>
      </c>
      <c r="X39" s="6"/>
      <c r="Y39" s="6"/>
      <c r="Z39" s="6"/>
      <c r="AA39" s="6" t="s">
        <v>125</v>
      </c>
      <c r="AB39" s="8"/>
    </row>
    <row r="40" spans="1:28" s="4" customFormat="1" ht="51.95" customHeight="1" x14ac:dyDescent="0.2">
      <c r="A40" s="5">
        <v>0</v>
      </c>
      <c r="B40" s="6" t="s">
        <v>299</v>
      </c>
      <c r="C40" s="7">
        <v>1834</v>
      </c>
      <c r="D40" s="8" t="s">
        <v>300</v>
      </c>
      <c r="E40" s="8" t="s">
        <v>301</v>
      </c>
      <c r="F40" s="8" t="s">
        <v>302</v>
      </c>
      <c r="G40" s="6" t="s">
        <v>53</v>
      </c>
      <c r="H40" s="6" t="s">
        <v>39</v>
      </c>
      <c r="I40" s="8" t="s">
        <v>54</v>
      </c>
      <c r="J40" s="9">
        <v>1</v>
      </c>
      <c r="K40" s="9">
        <v>352</v>
      </c>
      <c r="L40" s="9">
        <v>2025</v>
      </c>
      <c r="M40" s="8" t="s">
        <v>303</v>
      </c>
      <c r="N40" s="8" t="s">
        <v>41</v>
      </c>
      <c r="O40" s="8" t="s">
        <v>42</v>
      </c>
      <c r="P40" s="6" t="s">
        <v>56</v>
      </c>
      <c r="Q40" s="8" t="s">
        <v>121</v>
      </c>
      <c r="R40" s="10" t="s">
        <v>304</v>
      </c>
      <c r="S40" s="11" t="s">
        <v>305</v>
      </c>
      <c r="T40" s="6"/>
      <c r="U40" s="14" t="str">
        <f>HYPERLINK("https://media.infra-m.ru/2196/2196972/cover/2196972.jpg", "Обложка")</f>
        <v>Обложка</v>
      </c>
      <c r="V40" s="14" t="str">
        <f>HYPERLINK("https://znanium.ru/catalog/product/2128060", "Ознакомиться")</f>
        <v>Ознакомиться</v>
      </c>
      <c r="W40" s="8" t="s">
        <v>306</v>
      </c>
      <c r="X40" s="6"/>
      <c r="Y40" s="6"/>
      <c r="Z40" s="6"/>
      <c r="AA40" s="6" t="s">
        <v>71</v>
      </c>
      <c r="AB40" s="8"/>
    </row>
    <row r="41" spans="1:28" s="4" customFormat="1" ht="51.95" customHeight="1" x14ac:dyDescent="0.2">
      <c r="A41" s="5">
        <v>0</v>
      </c>
      <c r="B41" s="6" t="s">
        <v>307</v>
      </c>
      <c r="C41" s="7">
        <v>1834</v>
      </c>
      <c r="D41" s="8" t="s">
        <v>308</v>
      </c>
      <c r="E41" s="8" t="s">
        <v>301</v>
      </c>
      <c r="F41" s="8" t="s">
        <v>302</v>
      </c>
      <c r="G41" s="6" t="s">
        <v>38</v>
      </c>
      <c r="H41" s="6" t="s">
        <v>39</v>
      </c>
      <c r="I41" s="8" t="s">
        <v>139</v>
      </c>
      <c r="J41" s="9">
        <v>1</v>
      </c>
      <c r="K41" s="9">
        <v>352</v>
      </c>
      <c r="L41" s="9">
        <v>2025</v>
      </c>
      <c r="M41" s="8" t="s">
        <v>309</v>
      </c>
      <c r="N41" s="8" t="s">
        <v>41</v>
      </c>
      <c r="O41" s="8" t="s">
        <v>42</v>
      </c>
      <c r="P41" s="6" t="s">
        <v>56</v>
      </c>
      <c r="Q41" s="8" t="s">
        <v>141</v>
      </c>
      <c r="R41" s="10" t="s">
        <v>142</v>
      </c>
      <c r="S41" s="11" t="s">
        <v>310</v>
      </c>
      <c r="T41" s="6"/>
      <c r="U41" s="14" t="str">
        <f>HYPERLINK("https://media.infra-m.ru/2163/2163282/cover/2163282.jpg", "Обложка")</f>
        <v>Обложка</v>
      </c>
      <c r="V41" s="14" t="str">
        <f>HYPERLINK("https://znanium.ru/catalog/product/2162229", "Ознакомиться")</f>
        <v>Ознакомиться</v>
      </c>
      <c r="W41" s="8" t="s">
        <v>306</v>
      </c>
      <c r="X41" s="6"/>
      <c r="Y41" s="6"/>
      <c r="Z41" s="6" t="s">
        <v>144</v>
      </c>
      <c r="AA41" s="6" t="s">
        <v>115</v>
      </c>
      <c r="AB41" s="8"/>
    </row>
    <row r="42" spans="1:28" s="4" customFormat="1" ht="51.95" customHeight="1" x14ac:dyDescent="0.2">
      <c r="A42" s="5">
        <v>0</v>
      </c>
      <c r="B42" s="6" t="s">
        <v>311</v>
      </c>
      <c r="C42" s="7">
        <v>1764</v>
      </c>
      <c r="D42" s="8" t="s">
        <v>312</v>
      </c>
      <c r="E42" s="8" t="s">
        <v>313</v>
      </c>
      <c r="F42" s="8" t="s">
        <v>314</v>
      </c>
      <c r="G42" s="6" t="s">
        <v>53</v>
      </c>
      <c r="H42" s="6" t="s">
        <v>39</v>
      </c>
      <c r="I42" s="8" t="s">
        <v>54</v>
      </c>
      <c r="J42" s="9">
        <v>1</v>
      </c>
      <c r="K42" s="9">
        <v>352</v>
      </c>
      <c r="L42" s="9">
        <v>2025</v>
      </c>
      <c r="M42" s="8" t="s">
        <v>315</v>
      </c>
      <c r="N42" s="8" t="s">
        <v>41</v>
      </c>
      <c r="O42" s="8" t="s">
        <v>42</v>
      </c>
      <c r="P42" s="6" t="s">
        <v>56</v>
      </c>
      <c r="Q42" s="8" t="s">
        <v>121</v>
      </c>
      <c r="R42" s="10" t="s">
        <v>316</v>
      </c>
      <c r="S42" s="11" t="s">
        <v>317</v>
      </c>
      <c r="T42" s="6"/>
      <c r="U42" s="14" t="str">
        <f>HYPERLINK("https://media.infra-m.ru/2174/2174719/cover/2174719.jpg", "Обложка")</f>
        <v>Обложка</v>
      </c>
      <c r="V42" s="14" t="str">
        <f>HYPERLINK("https://znanium.ru/catalog/product/2151381", "Ознакомиться")</f>
        <v>Ознакомиться</v>
      </c>
      <c r="W42" s="8" t="s">
        <v>306</v>
      </c>
      <c r="X42" s="6"/>
      <c r="Y42" s="6"/>
      <c r="Z42" s="6"/>
      <c r="AA42" s="6" t="s">
        <v>71</v>
      </c>
      <c r="AB42" s="8"/>
    </row>
    <row r="43" spans="1:28" s="4" customFormat="1" ht="51.95" customHeight="1" x14ac:dyDescent="0.2">
      <c r="A43" s="5">
        <v>0</v>
      </c>
      <c r="B43" s="6" t="s">
        <v>318</v>
      </c>
      <c r="C43" s="7">
        <v>1834</v>
      </c>
      <c r="D43" s="8" t="s">
        <v>319</v>
      </c>
      <c r="E43" s="8" t="s">
        <v>313</v>
      </c>
      <c r="F43" s="8" t="s">
        <v>314</v>
      </c>
      <c r="G43" s="6" t="s">
        <v>53</v>
      </c>
      <c r="H43" s="6" t="s">
        <v>39</v>
      </c>
      <c r="I43" s="8" t="s">
        <v>139</v>
      </c>
      <c r="J43" s="9">
        <v>1</v>
      </c>
      <c r="K43" s="9">
        <v>352</v>
      </c>
      <c r="L43" s="9">
        <v>2026</v>
      </c>
      <c r="M43" s="8" t="s">
        <v>320</v>
      </c>
      <c r="N43" s="8" t="s">
        <v>41</v>
      </c>
      <c r="O43" s="8" t="s">
        <v>42</v>
      </c>
      <c r="P43" s="6" t="s">
        <v>56</v>
      </c>
      <c r="Q43" s="8" t="s">
        <v>141</v>
      </c>
      <c r="R43" s="10" t="s">
        <v>321</v>
      </c>
      <c r="S43" s="11" t="s">
        <v>322</v>
      </c>
      <c r="T43" s="6"/>
      <c r="U43" s="14" t="str">
        <f>HYPERLINK("https://media.infra-m.ru/2222/2222992/cover/2222992.jpg", "Обложка")</f>
        <v>Обложка</v>
      </c>
      <c r="V43" s="14" t="str">
        <f>HYPERLINK("https://znanium.ru/catalog/product/2184898", "Ознакомиться")</f>
        <v>Ознакомиться</v>
      </c>
      <c r="W43" s="8" t="s">
        <v>306</v>
      </c>
      <c r="X43" s="6"/>
      <c r="Y43" s="6"/>
      <c r="Z43" s="6" t="s">
        <v>144</v>
      </c>
      <c r="AA43" s="6" t="s">
        <v>107</v>
      </c>
      <c r="AB43" s="8"/>
    </row>
    <row r="44" spans="1:28" s="4" customFormat="1" ht="44.1" customHeight="1" x14ac:dyDescent="0.2">
      <c r="A44" s="5">
        <v>0</v>
      </c>
      <c r="B44" s="6" t="s">
        <v>323</v>
      </c>
      <c r="C44" s="13">
        <v>724.9</v>
      </c>
      <c r="D44" s="8" t="s">
        <v>324</v>
      </c>
      <c r="E44" s="8" t="s">
        <v>325</v>
      </c>
      <c r="F44" s="8" t="s">
        <v>326</v>
      </c>
      <c r="G44" s="6" t="s">
        <v>64</v>
      </c>
      <c r="H44" s="6" t="s">
        <v>39</v>
      </c>
      <c r="I44" s="8" t="s">
        <v>103</v>
      </c>
      <c r="J44" s="9">
        <v>1</v>
      </c>
      <c r="K44" s="9">
        <v>160</v>
      </c>
      <c r="L44" s="9">
        <v>2023</v>
      </c>
      <c r="M44" s="8" t="s">
        <v>327</v>
      </c>
      <c r="N44" s="8" t="s">
        <v>41</v>
      </c>
      <c r="O44" s="8" t="s">
        <v>42</v>
      </c>
      <c r="P44" s="6" t="s">
        <v>105</v>
      </c>
      <c r="Q44" s="8" t="s">
        <v>106</v>
      </c>
      <c r="R44" s="10" t="s">
        <v>328</v>
      </c>
      <c r="S44" s="11"/>
      <c r="T44" s="6"/>
      <c r="U44" s="14" t="str">
        <f>HYPERLINK("https://media.infra-m.ru/2045/2045838/cover/2045838.jpg", "Обложка")</f>
        <v>Обложка</v>
      </c>
      <c r="V44" s="14" t="str">
        <f>HYPERLINK("https://znanium.ru/catalog/product/1204632", "Ознакомиться")</f>
        <v>Ознакомиться</v>
      </c>
      <c r="W44" s="8" t="s">
        <v>329</v>
      </c>
      <c r="X44" s="6"/>
      <c r="Y44" s="6"/>
      <c r="Z44" s="6"/>
      <c r="AA44" s="6" t="s">
        <v>330</v>
      </c>
      <c r="AB44" s="8" t="s">
        <v>331</v>
      </c>
    </row>
    <row r="45" spans="1:28" s="4" customFormat="1" ht="51.95" customHeight="1" x14ac:dyDescent="0.2">
      <c r="A45" s="5">
        <v>0</v>
      </c>
      <c r="B45" s="6" t="s">
        <v>332</v>
      </c>
      <c r="C45" s="13">
        <v>730</v>
      </c>
      <c r="D45" s="8" t="s">
        <v>333</v>
      </c>
      <c r="E45" s="8" t="s">
        <v>334</v>
      </c>
      <c r="F45" s="8" t="s">
        <v>335</v>
      </c>
      <c r="G45" s="6" t="s">
        <v>64</v>
      </c>
      <c r="H45" s="6" t="s">
        <v>39</v>
      </c>
      <c r="I45" s="8" t="s">
        <v>336</v>
      </c>
      <c r="J45" s="9">
        <v>1</v>
      </c>
      <c r="K45" s="9">
        <v>126</v>
      </c>
      <c r="L45" s="9">
        <v>2024</v>
      </c>
      <c r="M45" s="8" t="s">
        <v>337</v>
      </c>
      <c r="N45" s="8" t="s">
        <v>41</v>
      </c>
      <c r="O45" s="8" t="s">
        <v>42</v>
      </c>
      <c r="P45" s="6" t="s">
        <v>56</v>
      </c>
      <c r="Q45" s="8" t="s">
        <v>87</v>
      </c>
      <c r="R45" s="10" t="s">
        <v>338</v>
      </c>
      <c r="S45" s="11" t="s">
        <v>339</v>
      </c>
      <c r="T45" s="6"/>
      <c r="U45" s="14" t="str">
        <f>HYPERLINK("https://media.infra-m.ru/2133/2133559/cover/2133559.jpg", "Обложка")</f>
        <v>Обложка</v>
      </c>
      <c r="V45" s="14" t="str">
        <f>HYPERLINK("https://znanium.ru/catalog/product/2133559", "Ознакомиться")</f>
        <v>Ознакомиться</v>
      </c>
      <c r="W45" s="8" t="s">
        <v>114</v>
      </c>
      <c r="X45" s="6"/>
      <c r="Y45" s="6"/>
      <c r="Z45" s="6"/>
      <c r="AA45" s="6" t="s">
        <v>330</v>
      </c>
      <c r="AB45" s="8"/>
    </row>
    <row r="46" spans="1:28" s="4" customFormat="1" ht="44.1" customHeight="1" x14ac:dyDescent="0.2">
      <c r="A46" s="5">
        <v>0</v>
      </c>
      <c r="B46" s="6" t="s">
        <v>340</v>
      </c>
      <c r="C46" s="7">
        <v>1350</v>
      </c>
      <c r="D46" s="8" t="s">
        <v>341</v>
      </c>
      <c r="E46" s="8" t="s">
        <v>342</v>
      </c>
      <c r="F46" s="8" t="s">
        <v>343</v>
      </c>
      <c r="G46" s="6" t="s">
        <v>38</v>
      </c>
      <c r="H46" s="6" t="s">
        <v>39</v>
      </c>
      <c r="I46" s="8" t="s">
        <v>76</v>
      </c>
      <c r="J46" s="9">
        <v>1</v>
      </c>
      <c r="K46" s="9">
        <v>240</v>
      </c>
      <c r="L46" s="9">
        <v>2025</v>
      </c>
      <c r="M46" s="8" t="s">
        <v>344</v>
      </c>
      <c r="N46" s="8" t="s">
        <v>41</v>
      </c>
      <c r="O46" s="8" t="s">
        <v>42</v>
      </c>
      <c r="P46" s="6" t="s">
        <v>43</v>
      </c>
      <c r="Q46" s="8" t="s">
        <v>87</v>
      </c>
      <c r="R46" s="10" t="s">
        <v>88</v>
      </c>
      <c r="S46" s="11"/>
      <c r="T46" s="6"/>
      <c r="U46" s="14" t="str">
        <f>HYPERLINK("https://media.infra-m.ru/2167/2167516/cover/2167516.jpg", "Обложка")</f>
        <v>Обложка</v>
      </c>
      <c r="V46" s="14" t="str">
        <f>HYPERLINK("https://znanium.ru/catalog/product/2167516", "Ознакомиться")</f>
        <v>Ознакомиться</v>
      </c>
      <c r="W46" s="8" t="s">
        <v>47</v>
      </c>
      <c r="X46" s="6" t="s">
        <v>345</v>
      </c>
      <c r="Y46" s="6"/>
      <c r="Z46" s="6"/>
      <c r="AA46" s="6" t="s">
        <v>81</v>
      </c>
      <c r="AB46" s="8"/>
    </row>
    <row r="47" spans="1:28" s="4" customFormat="1" ht="42" customHeight="1" x14ac:dyDescent="0.2">
      <c r="A47" s="5">
        <v>0</v>
      </c>
      <c r="B47" s="6" t="s">
        <v>346</v>
      </c>
      <c r="C47" s="13">
        <v>434</v>
      </c>
      <c r="D47" s="8" t="s">
        <v>347</v>
      </c>
      <c r="E47" s="8" t="s">
        <v>348</v>
      </c>
      <c r="F47" s="8" t="s">
        <v>349</v>
      </c>
      <c r="G47" s="6" t="s">
        <v>64</v>
      </c>
      <c r="H47" s="6" t="s">
        <v>350</v>
      </c>
      <c r="I47" s="8"/>
      <c r="J47" s="9">
        <v>1</v>
      </c>
      <c r="K47" s="9">
        <v>56</v>
      </c>
      <c r="L47" s="9">
        <v>2026</v>
      </c>
      <c r="M47" s="8" t="s">
        <v>351</v>
      </c>
      <c r="N47" s="8" t="s">
        <v>41</v>
      </c>
      <c r="O47" s="8" t="s">
        <v>42</v>
      </c>
      <c r="P47" s="6" t="s">
        <v>56</v>
      </c>
      <c r="Q47" s="8" t="s">
        <v>87</v>
      </c>
      <c r="R47" s="10" t="s">
        <v>352</v>
      </c>
      <c r="S47" s="11"/>
      <c r="T47" s="6"/>
      <c r="U47" s="14" t="str">
        <f>HYPERLINK("https://media.infra-m.ru/2224/2224185/cover/2224185.jpg", "Обложка")</f>
        <v>Обложка</v>
      </c>
      <c r="V47" s="14" t="str">
        <f>HYPERLINK("https://znanium.ru/catalog/product/2159156", "Ознакомиться")</f>
        <v>Ознакомиться</v>
      </c>
      <c r="W47" s="8" t="s">
        <v>353</v>
      </c>
      <c r="X47" s="6"/>
      <c r="Y47" s="6"/>
      <c r="Z47" s="6"/>
      <c r="AA47" s="6" t="s">
        <v>272</v>
      </c>
      <c r="AB47" s="8"/>
    </row>
    <row r="48" spans="1:28" s="4" customFormat="1" ht="51.95" customHeight="1" x14ac:dyDescent="0.2">
      <c r="A48" s="5">
        <v>0</v>
      </c>
      <c r="B48" s="6" t="s">
        <v>354</v>
      </c>
      <c r="C48" s="7">
        <v>1154.9000000000001</v>
      </c>
      <c r="D48" s="8" t="s">
        <v>355</v>
      </c>
      <c r="E48" s="8" t="s">
        <v>356</v>
      </c>
      <c r="F48" s="8" t="s">
        <v>357</v>
      </c>
      <c r="G48" s="6" t="s">
        <v>38</v>
      </c>
      <c r="H48" s="6" t="s">
        <v>358</v>
      </c>
      <c r="I48" s="8"/>
      <c r="J48" s="9">
        <v>1</v>
      </c>
      <c r="K48" s="9">
        <v>256</v>
      </c>
      <c r="L48" s="9">
        <v>2023</v>
      </c>
      <c r="M48" s="8" t="s">
        <v>359</v>
      </c>
      <c r="N48" s="8" t="s">
        <v>41</v>
      </c>
      <c r="O48" s="8" t="s">
        <v>42</v>
      </c>
      <c r="P48" s="6" t="s">
        <v>56</v>
      </c>
      <c r="Q48" s="8" t="s">
        <v>121</v>
      </c>
      <c r="R48" s="10" t="s">
        <v>79</v>
      </c>
      <c r="S48" s="11" t="s">
        <v>360</v>
      </c>
      <c r="T48" s="6"/>
      <c r="U48" s="14" t="str">
        <f>HYPERLINK("https://media.infra-m.ru/2045/2045874/cover/2045874.jpg", "Обложка")</f>
        <v>Обложка</v>
      </c>
      <c r="V48" s="14" t="str">
        <f>HYPERLINK("https://znanium.ru/catalog/product/959999", "Ознакомиться")</f>
        <v>Ознакомиться</v>
      </c>
      <c r="W48" s="8" t="s">
        <v>361</v>
      </c>
      <c r="X48" s="6"/>
      <c r="Y48" s="6"/>
      <c r="Z48" s="6"/>
      <c r="AA48" s="6" t="s">
        <v>125</v>
      </c>
      <c r="AB48" s="8"/>
    </row>
    <row r="49" spans="1:28" s="4" customFormat="1" ht="51.95" customHeight="1" x14ac:dyDescent="0.2">
      <c r="A49" s="5">
        <v>0</v>
      </c>
      <c r="B49" s="6" t="s">
        <v>362</v>
      </c>
      <c r="C49" s="13">
        <v>544.9</v>
      </c>
      <c r="D49" s="8" t="s">
        <v>363</v>
      </c>
      <c r="E49" s="8" t="s">
        <v>364</v>
      </c>
      <c r="F49" s="8" t="s">
        <v>365</v>
      </c>
      <c r="G49" s="6" t="s">
        <v>38</v>
      </c>
      <c r="H49" s="6" t="s">
        <v>358</v>
      </c>
      <c r="I49" s="8"/>
      <c r="J49" s="9">
        <v>1</v>
      </c>
      <c r="K49" s="9">
        <v>160</v>
      </c>
      <c r="L49" s="9">
        <v>2020</v>
      </c>
      <c r="M49" s="8" t="s">
        <v>366</v>
      </c>
      <c r="N49" s="8" t="s">
        <v>41</v>
      </c>
      <c r="O49" s="8" t="s">
        <v>42</v>
      </c>
      <c r="P49" s="6" t="s">
        <v>56</v>
      </c>
      <c r="Q49" s="8" t="s">
        <v>121</v>
      </c>
      <c r="R49" s="10" t="s">
        <v>367</v>
      </c>
      <c r="S49" s="11" t="s">
        <v>360</v>
      </c>
      <c r="T49" s="6"/>
      <c r="U49" s="14" t="str">
        <f>HYPERLINK("https://media.infra-m.ru/1083/1083435/cover/1083435.jpg", "Обложка")</f>
        <v>Обложка</v>
      </c>
      <c r="V49" s="14" t="str">
        <f>HYPERLINK("https://znanium.ru/catalog/product/960000", "Ознакомиться")</f>
        <v>Ознакомиться</v>
      </c>
      <c r="W49" s="8" t="s">
        <v>361</v>
      </c>
      <c r="X49" s="6"/>
      <c r="Y49" s="6"/>
      <c r="Z49" s="6"/>
      <c r="AA49" s="6" t="s">
        <v>125</v>
      </c>
      <c r="AB49" s="8"/>
    </row>
    <row r="50" spans="1:28" s="4" customFormat="1" ht="51.95" customHeight="1" x14ac:dyDescent="0.2">
      <c r="A50" s="5">
        <v>0</v>
      </c>
      <c r="B50" s="6" t="s">
        <v>368</v>
      </c>
      <c r="C50" s="7">
        <v>2650</v>
      </c>
      <c r="D50" s="8" t="s">
        <v>369</v>
      </c>
      <c r="E50" s="8" t="s">
        <v>370</v>
      </c>
      <c r="F50" s="8" t="s">
        <v>371</v>
      </c>
      <c r="G50" s="6" t="s">
        <v>38</v>
      </c>
      <c r="H50" s="6" t="s">
        <v>39</v>
      </c>
      <c r="I50" s="8" t="s">
        <v>54</v>
      </c>
      <c r="J50" s="9">
        <v>1</v>
      </c>
      <c r="K50" s="9">
        <v>574</v>
      </c>
      <c r="L50" s="9">
        <v>2024</v>
      </c>
      <c r="M50" s="8" t="s">
        <v>372</v>
      </c>
      <c r="N50" s="8" t="s">
        <v>41</v>
      </c>
      <c r="O50" s="8" t="s">
        <v>42</v>
      </c>
      <c r="P50" s="6" t="s">
        <v>56</v>
      </c>
      <c r="Q50" s="8" t="s">
        <v>121</v>
      </c>
      <c r="R50" s="10" t="s">
        <v>373</v>
      </c>
      <c r="S50" s="11" t="s">
        <v>374</v>
      </c>
      <c r="T50" s="6"/>
      <c r="U50" s="14" t="str">
        <f>HYPERLINK("https://media.infra-m.ru/2126/2126884/cover/2126884.jpg", "Обложка")</f>
        <v>Обложка</v>
      </c>
      <c r="V50" s="14" t="str">
        <f>HYPERLINK("https://znanium.ru/catalog/product/2126884", "Ознакомиться")</f>
        <v>Ознакомиться</v>
      </c>
      <c r="W50" s="8" t="s">
        <v>375</v>
      </c>
      <c r="X50" s="6"/>
      <c r="Y50" s="6"/>
      <c r="Z50" s="6"/>
      <c r="AA50" s="6" t="s">
        <v>125</v>
      </c>
      <c r="AB50" s="8"/>
    </row>
    <row r="51" spans="1:28" s="4" customFormat="1" ht="51.95" customHeight="1" x14ac:dyDescent="0.2">
      <c r="A51" s="5">
        <v>0</v>
      </c>
      <c r="B51" s="6" t="s">
        <v>376</v>
      </c>
      <c r="C51" s="7">
        <v>1260</v>
      </c>
      <c r="D51" s="8" t="s">
        <v>377</v>
      </c>
      <c r="E51" s="8" t="s">
        <v>378</v>
      </c>
      <c r="F51" s="8" t="s">
        <v>379</v>
      </c>
      <c r="G51" s="6" t="s">
        <v>38</v>
      </c>
      <c r="H51" s="6" t="s">
        <v>39</v>
      </c>
      <c r="I51" s="8" t="s">
        <v>76</v>
      </c>
      <c r="J51" s="9">
        <v>1</v>
      </c>
      <c r="K51" s="9">
        <v>234</v>
      </c>
      <c r="L51" s="9">
        <v>2025</v>
      </c>
      <c r="M51" s="8" t="s">
        <v>380</v>
      </c>
      <c r="N51" s="8" t="s">
        <v>41</v>
      </c>
      <c r="O51" s="8" t="s">
        <v>42</v>
      </c>
      <c r="P51" s="6" t="s">
        <v>381</v>
      </c>
      <c r="Q51" s="8" t="s">
        <v>44</v>
      </c>
      <c r="R51" s="10" t="s">
        <v>382</v>
      </c>
      <c r="S51" s="11"/>
      <c r="T51" s="6"/>
      <c r="U51" s="14" t="str">
        <f>HYPERLINK("https://media.infra-m.ru/2195/2195873/cover/2195873.jpg", "Обложка")</f>
        <v>Обложка</v>
      </c>
      <c r="V51" s="14" t="str">
        <f>HYPERLINK("https://znanium.ru/catalog/product/2195873", "Ознакомиться")</f>
        <v>Ознакомиться</v>
      </c>
      <c r="W51" s="8" t="s">
        <v>47</v>
      </c>
      <c r="X51" s="6" t="s">
        <v>383</v>
      </c>
      <c r="Y51" s="6"/>
      <c r="Z51" s="6"/>
      <c r="AA51" s="6" t="s">
        <v>81</v>
      </c>
      <c r="AB51" s="8"/>
    </row>
    <row r="52" spans="1:28" s="4" customFormat="1" ht="44.1" customHeight="1" x14ac:dyDescent="0.2">
      <c r="A52" s="5">
        <v>0</v>
      </c>
      <c r="B52" s="6" t="s">
        <v>384</v>
      </c>
      <c r="C52" s="7">
        <v>1259</v>
      </c>
      <c r="D52" s="8" t="s">
        <v>385</v>
      </c>
      <c r="E52" s="8" t="s">
        <v>386</v>
      </c>
      <c r="F52" s="8" t="s">
        <v>387</v>
      </c>
      <c r="G52" s="6" t="s">
        <v>53</v>
      </c>
      <c r="H52" s="6" t="s">
        <v>39</v>
      </c>
      <c r="I52" s="8" t="s">
        <v>103</v>
      </c>
      <c r="J52" s="9">
        <v>1</v>
      </c>
      <c r="K52" s="9">
        <v>185</v>
      </c>
      <c r="L52" s="9">
        <v>2025</v>
      </c>
      <c r="M52" s="8" t="s">
        <v>388</v>
      </c>
      <c r="N52" s="8" t="s">
        <v>41</v>
      </c>
      <c r="O52" s="8" t="s">
        <v>42</v>
      </c>
      <c r="P52" s="6" t="s">
        <v>105</v>
      </c>
      <c r="Q52" s="8" t="s">
        <v>106</v>
      </c>
      <c r="R52" s="10" t="s">
        <v>389</v>
      </c>
      <c r="S52" s="11"/>
      <c r="T52" s="6"/>
      <c r="U52" s="14" t="str">
        <f>HYPERLINK("https://media.infra-m.ru/2187/2187772/cover/2187772.jpg", "Обложка")</f>
        <v>Обложка</v>
      </c>
      <c r="V52" s="14" t="str">
        <f>HYPERLINK("https://znanium.ru/catalog/product/2187772", "Ознакомиться")</f>
        <v>Ознакомиться</v>
      </c>
      <c r="W52" s="8" t="s">
        <v>390</v>
      </c>
      <c r="X52" s="6"/>
      <c r="Y52" s="6"/>
      <c r="Z52" s="6"/>
      <c r="AA52" s="6" t="s">
        <v>81</v>
      </c>
      <c r="AB52" s="8"/>
    </row>
    <row r="53" spans="1:28" s="4" customFormat="1" ht="51.95" customHeight="1" x14ac:dyDescent="0.2">
      <c r="A53" s="5">
        <v>0</v>
      </c>
      <c r="B53" s="6" t="s">
        <v>391</v>
      </c>
      <c r="C53" s="7">
        <v>1107</v>
      </c>
      <c r="D53" s="8" t="s">
        <v>392</v>
      </c>
      <c r="E53" s="8" t="s">
        <v>393</v>
      </c>
      <c r="F53" s="8" t="s">
        <v>394</v>
      </c>
      <c r="G53" s="6" t="s">
        <v>64</v>
      </c>
      <c r="H53" s="6" t="s">
        <v>350</v>
      </c>
      <c r="I53" s="8" t="s">
        <v>54</v>
      </c>
      <c r="J53" s="9">
        <v>1</v>
      </c>
      <c r="K53" s="9">
        <v>184</v>
      </c>
      <c r="L53" s="9">
        <v>2024</v>
      </c>
      <c r="M53" s="8" t="s">
        <v>395</v>
      </c>
      <c r="N53" s="8" t="s">
        <v>41</v>
      </c>
      <c r="O53" s="8" t="s">
        <v>42</v>
      </c>
      <c r="P53" s="6" t="s">
        <v>56</v>
      </c>
      <c r="Q53" s="8" t="s">
        <v>121</v>
      </c>
      <c r="R53" s="10" t="s">
        <v>396</v>
      </c>
      <c r="S53" s="11" t="s">
        <v>397</v>
      </c>
      <c r="T53" s="6"/>
      <c r="U53" s="14" t="str">
        <f>HYPERLINK("https://media.infra-m.ru/2073/2073491/cover/2073491.jpg", "Обложка")</f>
        <v>Обложка</v>
      </c>
      <c r="V53" s="14" t="str">
        <f>HYPERLINK("https://znanium.ru/catalog/product/1141234", "Ознакомиться")</f>
        <v>Ознакомиться</v>
      </c>
      <c r="W53" s="8" t="s">
        <v>175</v>
      </c>
      <c r="X53" s="6"/>
      <c r="Y53" s="6"/>
      <c r="Z53" s="6"/>
      <c r="AA53" s="6" t="s">
        <v>272</v>
      </c>
      <c r="AB53" s="8"/>
    </row>
    <row r="54" spans="1:28" s="4" customFormat="1" ht="42" customHeight="1" x14ac:dyDescent="0.2">
      <c r="A54" s="5">
        <v>0</v>
      </c>
      <c r="B54" s="6" t="s">
        <v>398</v>
      </c>
      <c r="C54" s="7">
        <v>1730</v>
      </c>
      <c r="D54" s="8" t="s">
        <v>399</v>
      </c>
      <c r="E54" s="8" t="s">
        <v>400</v>
      </c>
      <c r="F54" s="8" t="s">
        <v>401</v>
      </c>
      <c r="G54" s="6" t="s">
        <v>64</v>
      </c>
      <c r="H54" s="6" t="s">
        <v>39</v>
      </c>
      <c r="I54" s="8" t="s">
        <v>103</v>
      </c>
      <c r="J54" s="9">
        <v>1</v>
      </c>
      <c r="K54" s="9">
        <v>315</v>
      </c>
      <c r="L54" s="9">
        <v>2026</v>
      </c>
      <c r="M54" s="8" t="s">
        <v>402</v>
      </c>
      <c r="N54" s="8" t="s">
        <v>41</v>
      </c>
      <c r="O54" s="8" t="s">
        <v>42</v>
      </c>
      <c r="P54" s="6" t="s">
        <v>105</v>
      </c>
      <c r="Q54" s="8" t="s">
        <v>106</v>
      </c>
      <c r="R54" s="10" t="s">
        <v>403</v>
      </c>
      <c r="S54" s="11"/>
      <c r="T54" s="6"/>
      <c r="U54" s="14" t="str">
        <f>HYPERLINK("https://media.infra-m.ru/2226/2226485/cover/2226485.jpg", "Обложка")</f>
        <v>Обложка</v>
      </c>
      <c r="V54" s="14" t="str">
        <f>HYPERLINK("https://znanium.ru/catalog/product/2226485", "Ознакомиться")</f>
        <v>Ознакомиться</v>
      </c>
      <c r="W54" s="8" t="s">
        <v>404</v>
      </c>
      <c r="X54" s="6"/>
      <c r="Y54" s="6"/>
      <c r="Z54" s="6"/>
      <c r="AA54" s="6" t="s">
        <v>405</v>
      </c>
      <c r="AB54" s="8"/>
    </row>
    <row r="55" spans="1:28" s="4" customFormat="1" ht="51.95" customHeight="1" x14ac:dyDescent="0.2">
      <c r="A55" s="5">
        <v>0</v>
      </c>
      <c r="B55" s="6" t="s">
        <v>406</v>
      </c>
      <c r="C55" s="7">
        <v>2030</v>
      </c>
      <c r="D55" s="8" t="s">
        <v>407</v>
      </c>
      <c r="E55" s="8" t="s">
        <v>408</v>
      </c>
      <c r="F55" s="8" t="s">
        <v>409</v>
      </c>
      <c r="G55" s="6" t="s">
        <v>64</v>
      </c>
      <c r="H55" s="6" t="s">
        <v>95</v>
      </c>
      <c r="I55" s="8" t="s">
        <v>410</v>
      </c>
      <c r="J55" s="9">
        <v>1</v>
      </c>
      <c r="K55" s="9">
        <v>370</v>
      </c>
      <c r="L55" s="9">
        <v>2026</v>
      </c>
      <c r="M55" s="8" t="s">
        <v>411</v>
      </c>
      <c r="N55" s="8" t="s">
        <v>41</v>
      </c>
      <c r="O55" s="8" t="s">
        <v>42</v>
      </c>
      <c r="P55" s="6" t="s">
        <v>67</v>
      </c>
      <c r="Q55" s="8" t="s">
        <v>106</v>
      </c>
      <c r="R55" s="10" t="s">
        <v>412</v>
      </c>
      <c r="S55" s="11"/>
      <c r="T55" s="6"/>
      <c r="U55" s="14" t="str">
        <f>HYPERLINK("https://media.infra-m.ru/2230/2230991/cover/2230991.jpg", "Обложка")</f>
        <v>Обложка</v>
      </c>
      <c r="V55" s="14" t="str">
        <f>HYPERLINK("https://znanium.ru/catalog/product/2230991", "Ознакомиться")</f>
        <v>Ознакомиться</v>
      </c>
      <c r="W55" s="8" t="s">
        <v>413</v>
      </c>
      <c r="X55" s="6"/>
      <c r="Y55" s="6"/>
      <c r="Z55" s="6"/>
      <c r="AA55" s="6" t="s">
        <v>125</v>
      </c>
      <c r="AB55" s="8"/>
    </row>
    <row r="56" spans="1:28" s="4" customFormat="1" ht="51.95" customHeight="1" x14ac:dyDescent="0.2">
      <c r="A56" s="5">
        <v>0</v>
      </c>
      <c r="B56" s="6" t="s">
        <v>414</v>
      </c>
      <c r="C56" s="7">
        <v>1150</v>
      </c>
      <c r="D56" s="8" t="s">
        <v>415</v>
      </c>
      <c r="E56" s="8" t="s">
        <v>416</v>
      </c>
      <c r="F56" s="8" t="s">
        <v>417</v>
      </c>
      <c r="G56" s="6" t="s">
        <v>53</v>
      </c>
      <c r="H56" s="6" t="s">
        <v>39</v>
      </c>
      <c r="I56" s="8" t="s">
        <v>54</v>
      </c>
      <c r="J56" s="9">
        <v>1</v>
      </c>
      <c r="K56" s="9">
        <v>204</v>
      </c>
      <c r="L56" s="9">
        <v>2026</v>
      </c>
      <c r="M56" s="8" t="s">
        <v>418</v>
      </c>
      <c r="N56" s="8" t="s">
        <v>41</v>
      </c>
      <c r="O56" s="8" t="s">
        <v>42</v>
      </c>
      <c r="P56" s="6" t="s">
        <v>56</v>
      </c>
      <c r="Q56" s="8" t="s">
        <v>87</v>
      </c>
      <c r="R56" s="10" t="s">
        <v>419</v>
      </c>
      <c r="S56" s="11" t="s">
        <v>420</v>
      </c>
      <c r="T56" s="6"/>
      <c r="U56" s="14" t="str">
        <f>HYPERLINK("https://media.infra-m.ru/2213/2213698/cover/2213698.jpg", "Обложка")</f>
        <v>Обложка</v>
      </c>
      <c r="V56" s="14" t="str">
        <f>HYPERLINK("https://znanium.ru/catalog/product/2213698", "Ознакомиться")</f>
        <v>Ознакомиться</v>
      </c>
      <c r="W56" s="8" t="s">
        <v>58</v>
      </c>
      <c r="X56" s="6"/>
      <c r="Y56" s="6"/>
      <c r="Z56" s="6"/>
      <c r="AA56" s="6" t="s">
        <v>115</v>
      </c>
      <c r="AB56" s="8"/>
    </row>
    <row r="57" spans="1:28" s="4" customFormat="1" ht="51.95" customHeight="1" x14ac:dyDescent="0.2">
      <c r="A57" s="5">
        <v>0</v>
      </c>
      <c r="B57" s="6" t="s">
        <v>421</v>
      </c>
      <c r="C57" s="7">
        <v>2190</v>
      </c>
      <c r="D57" s="8" t="s">
        <v>422</v>
      </c>
      <c r="E57" s="8" t="s">
        <v>423</v>
      </c>
      <c r="F57" s="8" t="s">
        <v>424</v>
      </c>
      <c r="G57" s="6" t="s">
        <v>38</v>
      </c>
      <c r="H57" s="6" t="s">
        <v>39</v>
      </c>
      <c r="I57" s="8" t="s">
        <v>76</v>
      </c>
      <c r="J57" s="9">
        <v>1</v>
      </c>
      <c r="K57" s="9">
        <v>413</v>
      </c>
      <c r="L57" s="9">
        <v>2024</v>
      </c>
      <c r="M57" s="8" t="s">
        <v>425</v>
      </c>
      <c r="N57" s="8" t="s">
        <v>41</v>
      </c>
      <c r="O57" s="8" t="s">
        <v>42</v>
      </c>
      <c r="P57" s="6" t="s">
        <v>131</v>
      </c>
      <c r="Q57" s="8" t="s">
        <v>44</v>
      </c>
      <c r="R57" s="10" t="s">
        <v>426</v>
      </c>
      <c r="S57" s="11" t="s">
        <v>427</v>
      </c>
      <c r="T57" s="6"/>
      <c r="U57" s="14" t="str">
        <f>HYPERLINK("https://media.infra-m.ru/2151/2151085/cover/2151085.jpg", "Обложка")</f>
        <v>Обложка</v>
      </c>
      <c r="V57" s="14" t="str">
        <f>HYPERLINK("https://znanium.ru/catalog/product/2151085", "Ознакомиться")</f>
        <v>Ознакомиться</v>
      </c>
      <c r="W57" s="8" t="s">
        <v>47</v>
      </c>
      <c r="X57" s="6"/>
      <c r="Y57" s="6"/>
      <c r="Z57" s="6"/>
      <c r="AA57" s="6" t="s">
        <v>48</v>
      </c>
      <c r="AB57" s="8"/>
    </row>
    <row r="58" spans="1:28" s="4" customFormat="1" ht="51.95" customHeight="1" x14ac:dyDescent="0.2">
      <c r="A58" s="5">
        <v>0</v>
      </c>
      <c r="B58" s="6" t="s">
        <v>428</v>
      </c>
      <c r="C58" s="13">
        <v>950</v>
      </c>
      <c r="D58" s="8" t="s">
        <v>429</v>
      </c>
      <c r="E58" s="8" t="s">
        <v>430</v>
      </c>
      <c r="F58" s="8" t="s">
        <v>431</v>
      </c>
      <c r="G58" s="6" t="s">
        <v>38</v>
      </c>
      <c r="H58" s="6" t="s">
        <v>39</v>
      </c>
      <c r="I58" s="8" t="s">
        <v>76</v>
      </c>
      <c r="J58" s="9">
        <v>1</v>
      </c>
      <c r="K58" s="9">
        <v>161</v>
      </c>
      <c r="L58" s="9">
        <v>2025</v>
      </c>
      <c r="M58" s="8" t="s">
        <v>432</v>
      </c>
      <c r="N58" s="8" t="s">
        <v>41</v>
      </c>
      <c r="O58" s="8" t="s">
        <v>42</v>
      </c>
      <c r="P58" s="6" t="s">
        <v>43</v>
      </c>
      <c r="Q58" s="8" t="s">
        <v>44</v>
      </c>
      <c r="R58" s="10" t="s">
        <v>97</v>
      </c>
      <c r="S58" s="11" t="s">
        <v>89</v>
      </c>
      <c r="T58" s="6"/>
      <c r="U58" s="14" t="str">
        <f>HYPERLINK("https://media.infra-m.ru/2157/2157886/cover/2157886.jpg", "Обложка")</f>
        <v>Обложка</v>
      </c>
      <c r="V58" s="14" t="str">
        <f>HYPERLINK("https://znanium.ru/catalog/product/2157886", "Ознакомиться")</f>
        <v>Ознакомиться</v>
      </c>
      <c r="W58" s="8" t="s">
        <v>47</v>
      </c>
      <c r="X58" s="6"/>
      <c r="Y58" s="6"/>
      <c r="Z58" s="6"/>
      <c r="AA58" s="6" t="s">
        <v>81</v>
      </c>
      <c r="AB58" s="8"/>
    </row>
    <row r="59" spans="1:28" s="4" customFormat="1" ht="51.95" customHeight="1" x14ac:dyDescent="0.2">
      <c r="A59" s="5">
        <v>0</v>
      </c>
      <c r="B59" s="6" t="s">
        <v>433</v>
      </c>
      <c r="C59" s="13">
        <v>364</v>
      </c>
      <c r="D59" s="8" t="s">
        <v>434</v>
      </c>
      <c r="E59" s="8" t="s">
        <v>435</v>
      </c>
      <c r="F59" s="8" t="s">
        <v>436</v>
      </c>
      <c r="G59" s="6" t="s">
        <v>64</v>
      </c>
      <c r="H59" s="6" t="s">
        <v>39</v>
      </c>
      <c r="I59" s="8" t="s">
        <v>437</v>
      </c>
      <c r="J59" s="9">
        <v>1</v>
      </c>
      <c r="K59" s="9">
        <v>74</v>
      </c>
      <c r="L59" s="9">
        <v>2024</v>
      </c>
      <c r="M59" s="8" t="s">
        <v>438</v>
      </c>
      <c r="N59" s="8" t="s">
        <v>41</v>
      </c>
      <c r="O59" s="8" t="s">
        <v>42</v>
      </c>
      <c r="P59" s="6" t="s">
        <v>56</v>
      </c>
      <c r="Q59" s="8" t="s">
        <v>68</v>
      </c>
      <c r="R59" s="10" t="s">
        <v>439</v>
      </c>
      <c r="S59" s="11" t="s">
        <v>440</v>
      </c>
      <c r="T59" s="6"/>
      <c r="U59" s="14" t="str">
        <f>HYPERLINK("https://media.infra-m.ru/2137/2137003/cover/2137003.jpg", "Обложка")</f>
        <v>Обложка</v>
      </c>
      <c r="V59" s="14" t="str">
        <f>HYPERLINK("https://znanium.ru/catalog/product/1913249", "Ознакомиться")</f>
        <v>Ознакомиться</v>
      </c>
      <c r="W59" s="8" t="s">
        <v>441</v>
      </c>
      <c r="X59" s="6"/>
      <c r="Y59" s="6"/>
      <c r="Z59" s="6"/>
      <c r="AA59" s="6" t="s">
        <v>71</v>
      </c>
      <c r="AB59" s="8"/>
    </row>
    <row r="60" spans="1:28" s="4" customFormat="1" ht="51.95" customHeight="1" x14ac:dyDescent="0.2">
      <c r="A60" s="5">
        <v>0</v>
      </c>
      <c r="B60" s="6" t="s">
        <v>442</v>
      </c>
      <c r="C60" s="13">
        <v>494</v>
      </c>
      <c r="D60" s="8" t="s">
        <v>443</v>
      </c>
      <c r="E60" s="8" t="s">
        <v>435</v>
      </c>
      <c r="F60" s="8" t="s">
        <v>436</v>
      </c>
      <c r="G60" s="6" t="s">
        <v>64</v>
      </c>
      <c r="H60" s="6" t="s">
        <v>39</v>
      </c>
      <c r="I60" s="8" t="s">
        <v>139</v>
      </c>
      <c r="J60" s="9">
        <v>1</v>
      </c>
      <c r="K60" s="9">
        <v>74</v>
      </c>
      <c r="L60" s="9">
        <v>2026</v>
      </c>
      <c r="M60" s="8" t="s">
        <v>444</v>
      </c>
      <c r="N60" s="8" t="s">
        <v>41</v>
      </c>
      <c r="O60" s="8" t="s">
        <v>42</v>
      </c>
      <c r="P60" s="6" t="s">
        <v>56</v>
      </c>
      <c r="Q60" s="8" t="s">
        <v>141</v>
      </c>
      <c r="R60" s="10" t="s">
        <v>445</v>
      </c>
      <c r="S60" s="11" t="s">
        <v>446</v>
      </c>
      <c r="T60" s="6"/>
      <c r="U60" s="14" t="str">
        <f>HYPERLINK("https://media.infra-m.ru/2230/2230674/cover/2230674.jpg", "Обложка")</f>
        <v>Обложка</v>
      </c>
      <c r="V60" s="14" t="str">
        <f>HYPERLINK("https://znanium.ru/catalog/product/2173436", "Ознакомиться")</f>
        <v>Ознакомиться</v>
      </c>
      <c r="W60" s="8" t="s">
        <v>441</v>
      </c>
      <c r="X60" s="6"/>
      <c r="Y60" s="6"/>
      <c r="Z60" s="6" t="s">
        <v>447</v>
      </c>
      <c r="AA60" s="6" t="s">
        <v>107</v>
      </c>
      <c r="AB60" s="8"/>
    </row>
    <row r="61" spans="1:28" s="4" customFormat="1" ht="42" customHeight="1" x14ac:dyDescent="0.2">
      <c r="A61" s="5">
        <v>0</v>
      </c>
      <c r="B61" s="6" t="s">
        <v>448</v>
      </c>
      <c r="C61" s="13">
        <v>910</v>
      </c>
      <c r="D61" s="8" t="s">
        <v>449</v>
      </c>
      <c r="E61" s="8" t="s">
        <v>450</v>
      </c>
      <c r="F61" s="8" t="s">
        <v>451</v>
      </c>
      <c r="G61" s="6" t="s">
        <v>64</v>
      </c>
      <c r="H61" s="6" t="s">
        <v>39</v>
      </c>
      <c r="I61" s="8" t="s">
        <v>103</v>
      </c>
      <c r="J61" s="9">
        <v>1</v>
      </c>
      <c r="K61" s="9">
        <v>197</v>
      </c>
      <c r="L61" s="9">
        <v>2023</v>
      </c>
      <c r="M61" s="8" t="s">
        <v>452</v>
      </c>
      <c r="N61" s="8" t="s">
        <v>41</v>
      </c>
      <c r="O61" s="8" t="s">
        <v>42</v>
      </c>
      <c r="P61" s="6" t="s">
        <v>105</v>
      </c>
      <c r="Q61" s="8" t="s">
        <v>106</v>
      </c>
      <c r="R61" s="10" t="s">
        <v>97</v>
      </c>
      <c r="S61" s="11"/>
      <c r="T61" s="6" t="s">
        <v>453</v>
      </c>
      <c r="U61" s="14" t="str">
        <f>HYPERLINK("https://media.infra-m.ru/2127/2127011/cover/2127011.jpg", "Обложка")</f>
        <v>Обложка</v>
      </c>
      <c r="V61" s="14" t="str">
        <f>HYPERLINK("https://znanium.ru/catalog/product/2127011", "Ознакомиться")</f>
        <v>Ознакомиться</v>
      </c>
      <c r="W61" s="8" t="s">
        <v>454</v>
      </c>
      <c r="X61" s="6"/>
      <c r="Y61" s="6"/>
      <c r="Z61" s="6"/>
      <c r="AA61" s="6" t="s">
        <v>135</v>
      </c>
      <c r="AB61" s="8"/>
    </row>
    <row r="62" spans="1:28" s="4" customFormat="1" ht="42" customHeight="1" x14ac:dyDescent="0.2">
      <c r="A62" s="5">
        <v>0</v>
      </c>
      <c r="B62" s="6" t="s">
        <v>455</v>
      </c>
      <c r="C62" s="7">
        <v>1534</v>
      </c>
      <c r="D62" s="8" t="s">
        <v>456</v>
      </c>
      <c r="E62" s="8" t="s">
        <v>457</v>
      </c>
      <c r="F62" s="8" t="s">
        <v>458</v>
      </c>
      <c r="G62" s="6" t="s">
        <v>64</v>
      </c>
      <c r="H62" s="6" t="s">
        <v>39</v>
      </c>
      <c r="I62" s="8" t="s">
        <v>103</v>
      </c>
      <c r="J62" s="9">
        <v>1</v>
      </c>
      <c r="K62" s="9">
        <v>296</v>
      </c>
      <c r="L62" s="9">
        <v>2025</v>
      </c>
      <c r="M62" s="8" t="s">
        <v>459</v>
      </c>
      <c r="N62" s="8" t="s">
        <v>41</v>
      </c>
      <c r="O62" s="8" t="s">
        <v>42</v>
      </c>
      <c r="P62" s="6" t="s">
        <v>105</v>
      </c>
      <c r="Q62" s="8" t="s">
        <v>106</v>
      </c>
      <c r="R62" s="10" t="s">
        <v>97</v>
      </c>
      <c r="S62" s="11"/>
      <c r="T62" s="6"/>
      <c r="U62" s="14" t="str">
        <f>HYPERLINK("https://media.infra-m.ru/2196/2196969/cover/2196969.jpg", "Обложка")</f>
        <v>Обложка</v>
      </c>
      <c r="V62" s="14" t="str">
        <f>HYPERLINK("https://znanium.ru/catalog/product/1024646", "Ознакомиться")</f>
        <v>Ознакомиться</v>
      </c>
      <c r="W62" s="8" t="s">
        <v>460</v>
      </c>
      <c r="X62" s="6"/>
      <c r="Y62" s="6"/>
      <c r="Z62" s="6"/>
      <c r="AA62" s="6" t="s">
        <v>461</v>
      </c>
      <c r="AB62" s="8"/>
    </row>
    <row r="63" spans="1:28" s="4" customFormat="1" ht="42" customHeight="1" x14ac:dyDescent="0.2">
      <c r="A63" s="5">
        <v>0</v>
      </c>
      <c r="B63" s="6" t="s">
        <v>462</v>
      </c>
      <c r="C63" s="13">
        <v>890</v>
      </c>
      <c r="D63" s="8" t="s">
        <v>463</v>
      </c>
      <c r="E63" s="8" t="s">
        <v>464</v>
      </c>
      <c r="F63" s="8" t="s">
        <v>465</v>
      </c>
      <c r="G63" s="6" t="s">
        <v>64</v>
      </c>
      <c r="H63" s="6" t="s">
        <v>39</v>
      </c>
      <c r="I63" s="8" t="s">
        <v>103</v>
      </c>
      <c r="J63" s="9">
        <v>1</v>
      </c>
      <c r="K63" s="9">
        <v>192</v>
      </c>
      <c r="L63" s="9">
        <v>2023</v>
      </c>
      <c r="M63" s="8" t="s">
        <v>466</v>
      </c>
      <c r="N63" s="8" t="s">
        <v>41</v>
      </c>
      <c r="O63" s="8" t="s">
        <v>42</v>
      </c>
      <c r="P63" s="6" t="s">
        <v>105</v>
      </c>
      <c r="Q63" s="8" t="s">
        <v>106</v>
      </c>
      <c r="R63" s="10" t="s">
        <v>97</v>
      </c>
      <c r="S63" s="11"/>
      <c r="T63" s="6"/>
      <c r="U63" s="14" t="str">
        <f>HYPERLINK("https://media.infra-m.ru/2127/2127022/cover/2127022.jpg", "Обложка")</f>
        <v>Обложка</v>
      </c>
      <c r="V63" s="14" t="str">
        <f>HYPERLINK("https://znanium.ru/catalog/product/2127022", "Ознакомиться")</f>
        <v>Ознакомиться</v>
      </c>
      <c r="W63" s="8" t="s">
        <v>467</v>
      </c>
      <c r="X63" s="6"/>
      <c r="Y63" s="6"/>
      <c r="Z63" s="6"/>
      <c r="AA63" s="6" t="s">
        <v>330</v>
      </c>
      <c r="AB63" s="8"/>
    </row>
    <row r="64" spans="1:28" s="4" customFormat="1" ht="51.95" customHeight="1" x14ac:dyDescent="0.2">
      <c r="A64" s="5">
        <v>0</v>
      </c>
      <c r="B64" s="6" t="s">
        <v>468</v>
      </c>
      <c r="C64" s="7">
        <v>2994</v>
      </c>
      <c r="D64" s="8" t="s">
        <v>469</v>
      </c>
      <c r="E64" s="8" t="s">
        <v>470</v>
      </c>
      <c r="F64" s="8" t="s">
        <v>471</v>
      </c>
      <c r="G64" s="6" t="s">
        <v>53</v>
      </c>
      <c r="H64" s="6" t="s">
        <v>39</v>
      </c>
      <c r="I64" s="8" t="s">
        <v>139</v>
      </c>
      <c r="J64" s="9">
        <v>1</v>
      </c>
      <c r="K64" s="9">
        <v>641</v>
      </c>
      <c r="L64" s="9">
        <v>2025</v>
      </c>
      <c r="M64" s="8" t="s">
        <v>472</v>
      </c>
      <c r="N64" s="8" t="s">
        <v>41</v>
      </c>
      <c r="O64" s="8" t="s">
        <v>42</v>
      </c>
      <c r="P64" s="6" t="s">
        <v>131</v>
      </c>
      <c r="Q64" s="8" t="s">
        <v>141</v>
      </c>
      <c r="R64" s="10" t="s">
        <v>473</v>
      </c>
      <c r="S64" s="11" t="s">
        <v>474</v>
      </c>
      <c r="T64" s="6"/>
      <c r="U64" s="14" t="str">
        <f>HYPERLINK("https://media.infra-m.ru/2208/2208738/cover/2208738.jpg", "Обложка")</f>
        <v>Обложка</v>
      </c>
      <c r="V64" s="14" t="str">
        <f>HYPERLINK("https://znanium.ru/catalog/product/2170974", "Ознакомиться")</f>
        <v>Ознакомиться</v>
      </c>
      <c r="W64" s="8" t="s">
        <v>475</v>
      </c>
      <c r="X64" s="6"/>
      <c r="Y64" s="6"/>
      <c r="Z64" s="6"/>
      <c r="AA64" s="6" t="s">
        <v>405</v>
      </c>
      <c r="AB64" s="8" t="s">
        <v>476</v>
      </c>
    </row>
    <row r="65" spans="1:28" s="4" customFormat="1" ht="51.95" customHeight="1" x14ac:dyDescent="0.2">
      <c r="A65" s="5">
        <v>0</v>
      </c>
      <c r="B65" s="6" t="s">
        <v>477</v>
      </c>
      <c r="C65" s="7">
        <v>2949</v>
      </c>
      <c r="D65" s="8" t="s">
        <v>478</v>
      </c>
      <c r="E65" s="8" t="s">
        <v>479</v>
      </c>
      <c r="F65" s="8" t="s">
        <v>480</v>
      </c>
      <c r="G65" s="6" t="s">
        <v>53</v>
      </c>
      <c r="H65" s="6" t="s">
        <v>39</v>
      </c>
      <c r="I65" s="8" t="s">
        <v>283</v>
      </c>
      <c r="J65" s="9">
        <v>1</v>
      </c>
      <c r="K65" s="9">
        <v>296</v>
      </c>
      <c r="L65" s="9">
        <v>2024</v>
      </c>
      <c r="M65" s="8" t="s">
        <v>481</v>
      </c>
      <c r="N65" s="8" t="s">
        <v>41</v>
      </c>
      <c r="O65" s="8" t="s">
        <v>42</v>
      </c>
      <c r="P65" s="6" t="s">
        <v>56</v>
      </c>
      <c r="Q65" s="8" t="s">
        <v>87</v>
      </c>
      <c r="R65" s="10" t="s">
        <v>198</v>
      </c>
      <c r="S65" s="11" t="s">
        <v>482</v>
      </c>
      <c r="T65" s="6"/>
      <c r="U65" s="14" t="str">
        <f>HYPERLINK("https://media.infra-m.ru/2047/2047071/cover/2047071.jpg", "Обложка")</f>
        <v>Обложка</v>
      </c>
      <c r="V65" s="14" t="str">
        <f>HYPERLINK("https://znanium.ru/catalog/product/2047071", "Ознакомиться")</f>
        <v>Ознакомиться</v>
      </c>
      <c r="W65" s="8" t="s">
        <v>191</v>
      </c>
      <c r="X65" s="6"/>
      <c r="Y65" s="6"/>
      <c r="Z65" s="6"/>
      <c r="AA65" s="6" t="s">
        <v>330</v>
      </c>
      <c r="AB65" s="8"/>
    </row>
    <row r="66" spans="1:28" s="4" customFormat="1" ht="51.95" customHeight="1" x14ac:dyDescent="0.2">
      <c r="A66" s="5">
        <v>0</v>
      </c>
      <c r="B66" s="6" t="s">
        <v>483</v>
      </c>
      <c r="C66" s="7">
        <v>1740</v>
      </c>
      <c r="D66" s="8" t="s">
        <v>484</v>
      </c>
      <c r="E66" s="8" t="s">
        <v>485</v>
      </c>
      <c r="F66" s="8" t="s">
        <v>486</v>
      </c>
      <c r="G66" s="6" t="s">
        <v>38</v>
      </c>
      <c r="H66" s="6" t="s">
        <v>39</v>
      </c>
      <c r="I66" s="8" t="s">
        <v>54</v>
      </c>
      <c r="J66" s="9">
        <v>1</v>
      </c>
      <c r="K66" s="9">
        <v>333</v>
      </c>
      <c r="L66" s="9">
        <v>2025</v>
      </c>
      <c r="M66" s="8" t="s">
        <v>487</v>
      </c>
      <c r="N66" s="8" t="s">
        <v>41</v>
      </c>
      <c r="O66" s="8" t="s">
        <v>488</v>
      </c>
      <c r="P66" s="6" t="s">
        <v>381</v>
      </c>
      <c r="Q66" s="8" t="s">
        <v>44</v>
      </c>
      <c r="R66" s="10" t="s">
        <v>489</v>
      </c>
      <c r="S66" s="11"/>
      <c r="T66" s="6"/>
      <c r="U66" s="14" t="str">
        <f>HYPERLINK("https://media.infra-m.ru/2052/2052421/cover/2052421.jpg", "Обложка")</f>
        <v>Обложка</v>
      </c>
      <c r="V66" s="14" t="str">
        <f>HYPERLINK("https://znanium.ru/catalog/product/2052421", "Ознакомиться")</f>
        <v>Ознакомиться</v>
      </c>
      <c r="W66" s="8" t="s">
        <v>490</v>
      </c>
      <c r="X66" s="6"/>
      <c r="Y66" s="6"/>
      <c r="Z66" s="6"/>
      <c r="AA66" s="6" t="s">
        <v>81</v>
      </c>
      <c r="AB66" s="8"/>
    </row>
    <row r="67" spans="1:28" s="4" customFormat="1" ht="51.95" customHeight="1" x14ac:dyDescent="0.2">
      <c r="A67" s="5">
        <v>0</v>
      </c>
      <c r="B67" s="6" t="s">
        <v>491</v>
      </c>
      <c r="C67" s="7">
        <v>1230</v>
      </c>
      <c r="D67" s="8" t="s">
        <v>492</v>
      </c>
      <c r="E67" s="8" t="s">
        <v>493</v>
      </c>
      <c r="F67" s="8" t="s">
        <v>494</v>
      </c>
      <c r="G67" s="6" t="s">
        <v>53</v>
      </c>
      <c r="H67" s="6" t="s">
        <v>39</v>
      </c>
      <c r="I67" s="8" t="s">
        <v>283</v>
      </c>
      <c r="J67" s="9">
        <v>1</v>
      </c>
      <c r="K67" s="9">
        <v>267</v>
      </c>
      <c r="L67" s="9">
        <v>2024</v>
      </c>
      <c r="M67" s="8" t="s">
        <v>495</v>
      </c>
      <c r="N67" s="8" t="s">
        <v>41</v>
      </c>
      <c r="O67" s="8" t="s">
        <v>42</v>
      </c>
      <c r="P67" s="6" t="s">
        <v>56</v>
      </c>
      <c r="Q67" s="8" t="s">
        <v>87</v>
      </c>
      <c r="R67" s="10" t="s">
        <v>97</v>
      </c>
      <c r="S67" s="11" t="s">
        <v>496</v>
      </c>
      <c r="T67" s="6"/>
      <c r="U67" s="14" t="str">
        <f>HYPERLINK("https://media.infra-m.ru/2085/2085112/cover/2085112.jpg", "Обложка")</f>
        <v>Обложка</v>
      </c>
      <c r="V67" s="14" t="str">
        <f>HYPERLINK("https://znanium.ru/catalog/product/2085112", "Ознакомиться")</f>
        <v>Ознакомиться</v>
      </c>
      <c r="W67" s="8" t="s">
        <v>361</v>
      </c>
      <c r="X67" s="6"/>
      <c r="Y67" s="6"/>
      <c r="Z67" s="6"/>
      <c r="AA67" s="6" t="s">
        <v>115</v>
      </c>
      <c r="AB67" s="8"/>
    </row>
    <row r="68" spans="1:28" s="4" customFormat="1" ht="42" customHeight="1" x14ac:dyDescent="0.2">
      <c r="A68" s="5">
        <v>0</v>
      </c>
      <c r="B68" s="6" t="s">
        <v>497</v>
      </c>
      <c r="C68" s="13">
        <v>804</v>
      </c>
      <c r="D68" s="8" t="s">
        <v>498</v>
      </c>
      <c r="E68" s="8" t="s">
        <v>499</v>
      </c>
      <c r="F68" s="8" t="s">
        <v>500</v>
      </c>
      <c r="G68" s="6" t="s">
        <v>64</v>
      </c>
      <c r="H68" s="6" t="s">
        <v>39</v>
      </c>
      <c r="I68" s="8" t="s">
        <v>103</v>
      </c>
      <c r="J68" s="9">
        <v>1</v>
      </c>
      <c r="K68" s="9">
        <v>168</v>
      </c>
      <c r="L68" s="9">
        <v>2023</v>
      </c>
      <c r="M68" s="8" t="s">
        <v>501</v>
      </c>
      <c r="N68" s="8" t="s">
        <v>41</v>
      </c>
      <c r="O68" s="8" t="s">
        <v>42</v>
      </c>
      <c r="P68" s="6" t="s">
        <v>105</v>
      </c>
      <c r="Q68" s="8" t="s">
        <v>106</v>
      </c>
      <c r="R68" s="10" t="s">
        <v>502</v>
      </c>
      <c r="S68" s="11"/>
      <c r="T68" s="6"/>
      <c r="U68" s="14" t="str">
        <f>HYPERLINK("https://media.infra-m.ru/2058/2058757/cover/2058757.jpg", "Обложка")</f>
        <v>Обложка</v>
      </c>
      <c r="V68" s="14" t="str">
        <f>HYPERLINK("https://znanium.ru/catalog/product/1864088", "Ознакомиться")</f>
        <v>Ознакомиться</v>
      </c>
      <c r="W68" s="8" t="s">
        <v>361</v>
      </c>
      <c r="X68" s="6"/>
      <c r="Y68" s="6"/>
      <c r="Z68" s="6"/>
      <c r="AA68" s="6" t="s">
        <v>330</v>
      </c>
      <c r="AB68" s="8"/>
    </row>
    <row r="69" spans="1:28" s="4" customFormat="1" ht="42" customHeight="1" x14ac:dyDescent="0.2">
      <c r="A69" s="5">
        <v>0</v>
      </c>
      <c r="B69" s="6" t="s">
        <v>503</v>
      </c>
      <c r="C69" s="13">
        <v>840</v>
      </c>
      <c r="D69" s="8" t="s">
        <v>504</v>
      </c>
      <c r="E69" s="8" t="s">
        <v>505</v>
      </c>
      <c r="F69" s="8" t="s">
        <v>506</v>
      </c>
      <c r="G69" s="6" t="s">
        <v>64</v>
      </c>
      <c r="H69" s="6" t="s">
        <v>39</v>
      </c>
      <c r="I69" s="8" t="s">
        <v>103</v>
      </c>
      <c r="J69" s="9">
        <v>1</v>
      </c>
      <c r="K69" s="9">
        <v>186</v>
      </c>
      <c r="L69" s="9">
        <v>2023</v>
      </c>
      <c r="M69" s="8" t="s">
        <v>507</v>
      </c>
      <c r="N69" s="8" t="s">
        <v>41</v>
      </c>
      <c r="O69" s="8" t="s">
        <v>42</v>
      </c>
      <c r="P69" s="6" t="s">
        <v>105</v>
      </c>
      <c r="Q69" s="8" t="s">
        <v>106</v>
      </c>
      <c r="R69" s="10" t="s">
        <v>97</v>
      </c>
      <c r="S69" s="11"/>
      <c r="T69" s="6"/>
      <c r="U69" s="14" t="str">
        <f>HYPERLINK("https://media.infra-m.ru/2045/2045885/cover/2045885.jpg", "Обложка")</f>
        <v>Обложка</v>
      </c>
      <c r="V69" s="14" t="str">
        <f>HYPERLINK("https://znanium.ru/catalog/product/2045885", "Ознакомиться")</f>
        <v>Ознакомиться</v>
      </c>
      <c r="W69" s="8" t="s">
        <v>508</v>
      </c>
      <c r="X69" s="6"/>
      <c r="Y69" s="6"/>
      <c r="Z69" s="6"/>
      <c r="AA69" s="6" t="s">
        <v>405</v>
      </c>
      <c r="AB69" s="8"/>
    </row>
    <row r="70" spans="1:28" s="4" customFormat="1" ht="44.1" customHeight="1" x14ac:dyDescent="0.2">
      <c r="A70" s="5">
        <v>0</v>
      </c>
      <c r="B70" s="6" t="s">
        <v>509</v>
      </c>
      <c r="C70" s="13">
        <v>654</v>
      </c>
      <c r="D70" s="8" t="s">
        <v>510</v>
      </c>
      <c r="E70" s="8" t="s">
        <v>511</v>
      </c>
      <c r="F70" s="8" t="s">
        <v>512</v>
      </c>
      <c r="G70" s="6" t="s">
        <v>64</v>
      </c>
      <c r="H70" s="6" t="s">
        <v>39</v>
      </c>
      <c r="I70" s="8" t="s">
        <v>103</v>
      </c>
      <c r="J70" s="9">
        <v>1</v>
      </c>
      <c r="K70" s="9">
        <v>126</v>
      </c>
      <c r="L70" s="9">
        <v>2025</v>
      </c>
      <c r="M70" s="8" t="s">
        <v>513</v>
      </c>
      <c r="N70" s="8" t="s">
        <v>41</v>
      </c>
      <c r="O70" s="8" t="s">
        <v>42</v>
      </c>
      <c r="P70" s="6" t="s">
        <v>105</v>
      </c>
      <c r="Q70" s="8" t="s">
        <v>106</v>
      </c>
      <c r="R70" s="10" t="s">
        <v>514</v>
      </c>
      <c r="S70" s="11"/>
      <c r="T70" s="6"/>
      <c r="U70" s="14" t="str">
        <f>HYPERLINK("https://media.infra-m.ru/2198/2198276/cover/2198276.jpg", "Обложка")</f>
        <v>Обложка</v>
      </c>
      <c r="V70" s="14" t="str">
        <f>HYPERLINK("https://znanium.ru/catalog/product/1462723", "Ознакомиться")</f>
        <v>Ознакомиться</v>
      </c>
      <c r="W70" s="8" t="s">
        <v>460</v>
      </c>
      <c r="X70" s="6"/>
      <c r="Y70" s="6"/>
      <c r="Z70" s="6"/>
      <c r="AA70" s="6" t="s">
        <v>125</v>
      </c>
      <c r="AB70" s="8"/>
    </row>
    <row r="71" spans="1:28" s="4" customFormat="1" ht="51.95" customHeight="1" x14ac:dyDescent="0.2">
      <c r="A71" s="5">
        <v>0</v>
      </c>
      <c r="B71" s="6" t="s">
        <v>515</v>
      </c>
      <c r="C71" s="7">
        <v>2299</v>
      </c>
      <c r="D71" s="8" t="s">
        <v>516</v>
      </c>
      <c r="E71" s="8" t="s">
        <v>517</v>
      </c>
      <c r="F71" s="8" t="s">
        <v>518</v>
      </c>
      <c r="G71" s="6" t="s">
        <v>38</v>
      </c>
      <c r="H71" s="6" t="s">
        <v>39</v>
      </c>
      <c r="I71" s="8" t="s">
        <v>76</v>
      </c>
      <c r="J71" s="9">
        <v>1</v>
      </c>
      <c r="K71" s="9">
        <v>414</v>
      </c>
      <c r="L71" s="9">
        <v>2025</v>
      </c>
      <c r="M71" s="8" t="s">
        <v>519</v>
      </c>
      <c r="N71" s="8" t="s">
        <v>41</v>
      </c>
      <c r="O71" s="8" t="s">
        <v>42</v>
      </c>
      <c r="P71" s="6" t="s">
        <v>56</v>
      </c>
      <c r="Q71" s="8" t="s">
        <v>44</v>
      </c>
      <c r="R71" s="10" t="s">
        <v>520</v>
      </c>
      <c r="S71" s="11"/>
      <c r="T71" s="6"/>
      <c r="U71" s="14" t="str">
        <f>HYPERLINK("https://media.infra-m.ru/2200/2200757/cover/2200757.jpg", "Обложка")</f>
        <v>Обложка</v>
      </c>
      <c r="V71" s="14" t="str">
        <f>HYPERLINK("https://znanium.ru/catalog/product/2200757", "Ознакомиться")</f>
        <v>Ознакомиться</v>
      </c>
      <c r="W71" s="8" t="s">
        <v>47</v>
      </c>
      <c r="X71" s="6" t="s">
        <v>521</v>
      </c>
      <c r="Y71" s="6"/>
      <c r="Z71" s="6"/>
      <c r="AA71" s="6" t="s">
        <v>81</v>
      </c>
      <c r="AB71" s="8"/>
    </row>
    <row r="72" spans="1:28" s="4" customFormat="1" ht="51.95" customHeight="1" x14ac:dyDescent="0.2">
      <c r="A72" s="5">
        <v>0</v>
      </c>
      <c r="B72" s="6" t="s">
        <v>522</v>
      </c>
      <c r="C72" s="7">
        <v>1654</v>
      </c>
      <c r="D72" s="8" t="s">
        <v>523</v>
      </c>
      <c r="E72" s="8" t="s">
        <v>524</v>
      </c>
      <c r="F72" s="8" t="s">
        <v>525</v>
      </c>
      <c r="G72" s="6" t="s">
        <v>38</v>
      </c>
      <c r="H72" s="6" t="s">
        <v>39</v>
      </c>
      <c r="I72" s="8" t="s">
        <v>139</v>
      </c>
      <c r="J72" s="9">
        <v>1</v>
      </c>
      <c r="K72" s="9">
        <v>352</v>
      </c>
      <c r="L72" s="9">
        <v>2024</v>
      </c>
      <c r="M72" s="8" t="s">
        <v>526</v>
      </c>
      <c r="N72" s="8" t="s">
        <v>41</v>
      </c>
      <c r="O72" s="8" t="s">
        <v>42</v>
      </c>
      <c r="P72" s="6" t="s">
        <v>56</v>
      </c>
      <c r="Q72" s="8" t="s">
        <v>141</v>
      </c>
      <c r="R72" s="10" t="s">
        <v>527</v>
      </c>
      <c r="S72" s="11" t="s">
        <v>528</v>
      </c>
      <c r="T72" s="6"/>
      <c r="U72" s="14" t="str">
        <f>HYPERLINK("https://media.infra-m.ru/2157/2157276/cover/2157276.jpg", "Обложка")</f>
        <v>Обложка</v>
      </c>
      <c r="V72" s="14" t="str">
        <f>HYPERLINK("https://znanium.ru/catalog/product/1863043", "Ознакомиться")</f>
        <v>Ознакомиться</v>
      </c>
      <c r="W72" s="8" t="s">
        <v>441</v>
      </c>
      <c r="X72" s="6"/>
      <c r="Y72" s="6"/>
      <c r="Z72" s="6" t="s">
        <v>529</v>
      </c>
      <c r="AA72" s="6" t="s">
        <v>107</v>
      </c>
      <c r="AB72" s="8"/>
    </row>
    <row r="73" spans="1:28" s="4" customFormat="1" ht="51.95" customHeight="1" x14ac:dyDescent="0.2">
      <c r="A73" s="5">
        <v>0</v>
      </c>
      <c r="B73" s="6" t="s">
        <v>530</v>
      </c>
      <c r="C73" s="7">
        <v>1754</v>
      </c>
      <c r="D73" s="8" t="s">
        <v>531</v>
      </c>
      <c r="E73" s="8" t="s">
        <v>532</v>
      </c>
      <c r="F73" s="8" t="s">
        <v>533</v>
      </c>
      <c r="G73" s="6" t="s">
        <v>38</v>
      </c>
      <c r="H73" s="6" t="s">
        <v>39</v>
      </c>
      <c r="I73" s="8" t="s">
        <v>437</v>
      </c>
      <c r="J73" s="9">
        <v>1</v>
      </c>
      <c r="K73" s="9">
        <v>352</v>
      </c>
      <c r="L73" s="9">
        <v>2025</v>
      </c>
      <c r="M73" s="8" t="s">
        <v>534</v>
      </c>
      <c r="N73" s="8" t="s">
        <v>41</v>
      </c>
      <c r="O73" s="8" t="s">
        <v>42</v>
      </c>
      <c r="P73" s="6" t="s">
        <v>56</v>
      </c>
      <c r="Q73" s="8" t="s">
        <v>87</v>
      </c>
      <c r="R73" s="10" t="s">
        <v>535</v>
      </c>
      <c r="S73" s="11"/>
      <c r="T73" s="6"/>
      <c r="U73" s="14" t="str">
        <f>HYPERLINK("https://media.infra-m.ru/2170/2170647/cover/2170647.jpg", "Обложка")</f>
        <v>Обложка</v>
      </c>
      <c r="V73" s="14" t="str">
        <f>HYPERLINK("https://znanium.ru/catalog/product/1009063", "Ознакомиться")</f>
        <v>Ознакомиться</v>
      </c>
      <c r="W73" s="8" t="s">
        <v>441</v>
      </c>
      <c r="X73" s="6"/>
      <c r="Y73" s="6"/>
      <c r="Z73" s="6"/>
      <c r="AA73" s="6" t="s">
        <v>71</v>
      </c>
      <c r="AB73" s="8"/>
    </row>
    <row r="74" spans="1:28" s="4" customFormat="1" ht="44.1" customHeight="1" x14ac:dyDescent="0.2">
      <c r="A74" s="5">
        <v>0</v>
      </c>
      <c r="B74" s="6" t="s">
        <v>536</v>
      </c>
      <c r="C74" s="13">
        <v>760</v>
      </c>
      <c r="D74" s="8" t="s">
        <v>537</v>
      </c>
      <c r="E74" s="8" t="s">
        <v>538</v>
      </c>
      <c r="F74" s="8" t="s">
        <v>539</v>
      </c>
      <c r="G74" s="6" t="s">
        <v>64</v>
      </c>
      <c r="H74" s="6" t="s">
        <v>39</v>
      </c>
      <c r="I74" s="8" t="s">
        <v>76</v>
      </c>
      <c r="J74" s="9">
        <v>1</v>
      </c>
      <c r="K74" s="9">
        <v>114</v>
      </c>
      <c r="L74" s="9">
        <v>2026</v>
      </c>
      <c r="M74" s="8" t="s">
        <v>540</v>
      </c>
      <c r="N74" s="8" t="s">
        <v>41</v>
      </c>
      <c r="O74" s="8" t="s">
        <v>42</v>
      </c>
      <c r="P74" s="6" t="s">
        <v>43</v>
      </c>
      <c r="Q74" s="8" t="s">
        <v>44</v>
      </c>
      <c r="R74" s="10" t="s">
        <v>541</v>
      </c>
      <c r="S74" s="11"/>
      <c r="T74" s="6"/>
      <c r="U74" s="14" t="str">
        <f>HYPERLINK("https://media.infra-m.ru/2226/2226026/cover/2226026.jpg", "Обложка")</f>
        <v>Обложка</v>
      </c>
      <c r="V74" s="14" t="str">
        <f>HYPERLINK("https://znanium.ru/catalog/product/2226026", "Ознакомиться")</f>
        <v>Ознакомиться</v>
      </c>
      <c r="W74" s="8" t="s">
        <v>47</v>
      </c>
      <c r="X74" s="6"/>
      <c r="Y74" s="6"/>
      <c r="Z74" s="6"/>
      <c r="AA74" s="6" t="s">
        <v>81</v>
      </c>
      <c r="AB74" s="8"/>
    </row>
    <row r="75" spans="1:28" s="4" customFormat="1" ht="44.1" customHeight="1" x14ac:dyDescent="0.2">
      <c r="A75" s="5">
        <v>0</v>
      </c>
      <c r="B75" s="6" t="s">
        <v>542</v>
      </c>
      <c r="C75" s="7">
        <v>2294</v>
      </c>
      <c r="D75" s="8" t="s">
        <v>543</v>
      </c>
      <c r="E75" s="8" t="s">
        <v>544</v>
      </c>
      <c r="F75" s="8" t="s">
        <v>545</v>
      </c>
      <c r="G75" s="6" t="s">
        <v>38</v>
      </c>
      <c r="H75" s="6" t="s">
        <v>39</v>
      </c>
      <c r="I75" s="8" t="s">
        <v>65</v>
      </c>
      <c r="J75" s="9">
        <v>1</v>
      </c>
      <c r="K75" s="9">
        <v>441</v>
      </c>
      <c r="L75" s="9">
        <v>2026</v>
      </c>
      <c r="M75" s="8" t="s">
        <v>546</v>
      </c>
      <c r="N75" s="8" t="s">
        <v>41</v>
      </c>
      <c r="O75" s="8" t="s">
        <v>42</v>
      </c>
      <c r="P75" s="6" t="s">
        <v>547</v>
      </c>
      <c r="Q75" s="8" t="s">
        <v>87</v>
      </c>
      <c r="R75" s="10" t="s">
        <v>548</v>
      </c>
      <c r="S75" s="11"/>
      <c r="T75" s="6"/>
      <c r="U75" s="14" t="str">
        <f>HYPERLINK("https://media.infra-m.ru/2223/2223163/cover/2223163.jpg", "Обложка")</f>
        <v>Обложка</v>
      </c>
      <c r="V75" s="14" t="str">
        <f>HYPERLINK("https://znanium.ru/catalog/product/2175044", "Ознакомиться")</f>
        <v>Ознакомиться</v>
      </c>
      <c r="W75" s="8" t="s">
        <v>454</v>
      </c>
      <c r="X75" s="6"/>
      <c r="Y75" s="6"/>
      <c r="Z75" s="6"/>
      <c r="AA75" s="6" t="s">
        <v>549</v>
      </c>
      <c r="AB75" s="8" t="s">
        <v>550</v>
      </c>
    </row>
    <row r="76" spans="1:28" s="4" customFormat="1" ht="42" customHeight="1" x14ac:dyDescent="0.2">
      <c r="A76" s="5">
        <v>0</v>
      </c>
      <c r="B76" s="6" t="s">
        <v>551</v>
      </c>
      <c r="C76" s="7">
        <v>2100</v>
      </c>
      <c r="D76" s="8" t="s">
        <v>552</v>
      </c>
      <c r="E76" s="8" t="s">
        <v>553</v>
      </c>
      <c r="F76" s="8" t="s">
        <v>554</v>
      </c>
      <c r="G76" s="6" t="s">
        <v>38</v>
      </c>
      <c r="H76" s="6" t="s">
        <v>39</v>
      </c>
      <c r="I76" s="8" t="s">
        <v>54</v>
      </c>
      <c r="J76" s="9">
        <v>1</v>
      </c>
      <c r="K76" s="9">
        <v>420</v>
      </c>
      <c r="L76" s="9">
        <v>2025</v>
      </c>
      <c r="M76" s="8" t="s">
        <v>555</v>
      </c>
      <c r="N76" s="8" t="s">
        <v>41</v>
      </c>
      <c r="O76" s="8" t="s">
        <v>42</v>
      </c>
      <c r="P76" s="6" t="s">
        <v>131</v>
      </c>
      <c r="Q76" s="8" t="s">
        <v>87</v>
      </c>
      <c r="R76" s="10" t="s">
        <v>97</v>
      </c>
      <c r="S76" s="11"/>
      <c r="T76" s="6" t="s">
        <v>453</v>
      </c>
      <c r="U76" s="14" t="str">
        <f>HYPERLINK("https://media.infra-m.ru/2175/2175110/cover/2175110.jpg", "Обложка")</f>
        <v>Обложка</v>
      </c>
      <c r="V76" s="14" t="str">
        <f>HYPERLINK("https://znanium.ru/catalog/product/2175110", "Ознакомиться")</f>
        <v>Ознакомиться</v>
      </c>
      <c r="W76" s="8" t="s">
        <v>508</v>
      </c>
      <c r="X76" s="6"/>
      <c r="Y76" s="6"/>
      <c r="Z76" s="6"/>
      <c r="AA76" s="6" t="s">
        <v>59</v>
      </c>
      <c r="AB76" s="8"/>
    </row>
    <row r="77" spans="1:28" s="4" customFormat="1" ht="51.95" customHeight="1" x14ac:dyDescent="0.2">
      <c r="A77" s="5">
        <v>0</v>
      </c>
      <c r="B77" s="6" t="s">
        <v>556</v>
      </c>
      <c r="C77" s="7">
        <v>1000</v>
      </c>
      <c r="D77" s="8" t="s">
        <v>557</v>
      </c>
      <c r="E77" s="8" t="s">
        <v>558</v>
      </c>
      <c r="F77" s="8" t="s">
        <v>559</v>
      </c>
      <c r="G77" s="6" t="s">
        <v>53</v>
      </c>
      <c r="H77" s="6" t="s">
        <v>350</v>
      </c>
      <c r="I77" s="8" t="s">
        <v>283</v>
      </c>
      <c r="J77" s="9">
        <v>1</v>
      </c>
      <c r="K77" s="9">
        <v>223</v>
      </c>
      <c r="L77" s="9">
        <v>2023</v>
      </c>
      <c r="M77" s="8" t="s">
        <v>560</v>
      </c>
      <c r="N77" s="8" t="s">
        <v>41</v>
      </c>
      <c r="O77" s="8" t="s">
        <v>42</v>
      </c>
      <c r="P77" s="6" t="s">
        <v>561</v>
      </c>
      <c r="Q77" s="8" t="s">
        <v>87</v>
      </c>
      <c r="R77" s="10" t="s">
        <v>396</v>
      </c>
      <c r="S77" s="11" t="s">
        <v>562</v>
      </c>
      <c r="T77" s="6"/>
      <c r="U77" s="14" t="str">
        <f>HYPERLINK("https://media.infra-m.ru/1865/1865314/cover/1865314.jpg", "Обложка")</f>
        <v>Обложка</v>
      </c>
      <c r="V77" s="14" t="str">
        <f>HYPERLINK("https://znanium.ru/catalog/product/1865314", "Ознакомиться")</f>
        <v>Ознакомиться</v>
      </c>
      <c r="W77" s="8" t="s">
        <v>175</v>
      </c>
      <c r="X77" s="6"/>
      <c r="Y77" s="6"/>
      <c r="Z77" s="6"/>
      <c r="AA77" s="6" t="s">
        <v>107</v>
      </c>
      <c r="AB77" s="8"/>
    </row>
    <row r="78" spans="1:28" s="4" customFormat="1" ht="51.95" customHeight="1" x14ac:dyDescent="0.2">
      <c r="A78" s="5">
        <v>0</v>
      </c>
      <c r="B78" s="6" t="s">
        <v>563</v>
      </c>
      <c r="C78" s="7">
        <v>2254</v>
      </c>
      <c r="D78" s="8" t="s">
        <v>564</v>
      </c>
      <c r="E78" s="8" t="s">
        <v>565</v>
      </c>
      <c r="F78" s="8" t="s">
        <v>566</v>
      </c>
      <c r="G78" s="6" t="s">
        <v>38</v>
      </c>
      <c r="H78" s="6" t="s">
        <v>39</v>
      </c>
      <c r="I78" s="8" t="s">
        <v>54</v>
      </c>
      <c r="J78" s="9">
        <v>1</v>
      </c>
      <c r="K78" s="9">
        <v>432</v>
      </c>
      <c r="L78" s="9">
        <v>2025</v>
      </c>
      <c r="M78" s="8" t="s">
        <v>567</v>
      </c>
      <c r="N78" s="8" t="s">
        <v>41</v>
      </c>
      <c r="O78" s="8" t="s">
        <v>42</v>
      </c>
      <c r="P78" s="6" t="s">
        <v>56</v>
      </c>
      <c r="Q78" s="8" t="s">
        <v>121</v>
      </c>
      <c r="R78" s="10" t="s">
        <v>568</v>
      </c>
      <c r="S78" s="11" t="s">
        <v>569</v>
      </c>
      <c r="T78" s="6"/>
      <c r="U78" s="14" t="str">
        <f>HYPERLINK("https://media.infra-m.ru/2200/2200756/cover/2200756.jpg", "Обложка")</f>
        <v>Обложка</v>
      </c>
      <c r="V78" s="14" t="str">
        <f>HYPERLINK("https://znanium.ru/catalog/product/2039903", "Ознакомиться")</f>
        <v>Ознакомиться</v>
      </c>
      <c r="W78" s="8" t="s">
        <v>570</v>
      </c>
      <c r="X78" s="6"/>
      <c r="Y78" s="6"/>
      <c r="Z78" s="6"/>
      <c r="AA78" s="6" t="s">
        <v>71</v>
      </c>
      <c r="AB78" s="8"/>
    </row>
    <row r="79" spans="1:28" s="4" customFormat="1" ht="51.95" customHeight="1" x14ac:dyDescent="0.2">
      <c r="A79" s="5">
        <v>0</v>
      </c>
      <c r="B79" s="6" t="s">
        <v>571</v>
      </c>
      <c r="C79" s="7">
        <v>1234</v>
      </c>
      <c r="D79" s="8" t="s">
        <v>572</v>
      </c>
      <c r="E79" s="8" t="s">
        <v>573</v>
      </c>
      <c r="F79" s="8" t="s">
        <v>574</v>
      </c>
      <c r="G79" s="6" t="s">
        <v>38</v>
      </c>
      <c r="H79" s="6" t="s">
        <v>277</v>
      </c>
      <c r="I79" s="8"/>
      <c r="J79" s="9">
        <v>1</v>
      </c>
      <c r="K79" s="9">
        <v>237</v>
      </c>
      <c r="L79" s="9">
        <v>2025</v>
      </c>
      <c r="M79" s="8" t="s">
        <v>575</v>
      </c>
      <c r="N79" s="8" t="s">
        <v>41</v>
      </c>
      <c r="O79" s="8" t="s">
        <v>42</v>
      </c>
      <c r="P79" s="6" t="s">
        <v>56</v>
      </c>
      <c r="Q79" s="8" t="s">
        <v>87</v>
      </c>
      <c r="R79" s="10" t="s">
        <v>576</v>
      </c>
      <c r="S79" s="11" t="s">
        <v>577</v>
      </c>
      <c r="T79" s="6"/>
      <c r="U79" s="14" t="str">
        <f>HYPERLINK("https://media.infra-m.ru/2192/2192211/cover/2192211.jpg", "Обложка")</f>
        <v>Обложка</v>
      </c>
      <c r="V79" s="14" t="str">
        <f>HYPERLINK("https://znanium.ru/catalog/product/1062285", "Ознакомиться")</f>
        <v>Ознакомиться</v>
      </c>
      <c r="W79" s="8" t="s">
        <v>175</v>
      </c>
      <c r="X79" s="6"/>
      <c r="Y79" s="6"/>
      <c r="Z79" s="6"/>
      <c r="AA79" s="6" t="s">
        <v>176</v>
      </c>
      <c r="AB79" s="8"/>
    </row>
    <row r="80" spans="1:28" s="4" customFormat="1" ht="51.95" customHeight="1" x14ac:dyDescent="0.2">
      <c r="A80" s="5">
        <v>0</v>
      </c>
      <c r="B80" s="6" t="s">
        <v>578</v>
      </c>
      <c r="C80" s="7">
        <v>1434</v>
      </c>
      <c r="D80" s="8" t="s">
        <v>579</v>
      </c>
      <c r="E80" s="8" t="s">
        <v>580</v>
      </c>
      <c r="F80" s="8" t="s">
        <v>581</v>
      </c>
      <c r="G80" s="6" t="s">
        <v>53</v>
      </c>
      <c r="H80" s="6" t="s">
        <v>39</v>
      </c>
      <c r="I80" s="8" t="s">
        <v>283</v>
      </c>
      <c r="J80" s="9">
        <v>1</v>
      </c>
      <c r="K80" s="9">
        <v>286</v>
      </c>
      <c r="L80" s="9">
        <v>2025</v>
      </c>
      <c r="M80" s="8" t="s">
        <v>582</v>
      </c>
      <c r="N80" s="8" t="s">
        <v>41</v>
      </c>
      <c r="O80" s="8" t="s">
        <v>42</v>
      </c>
      <c r="P80" s="6" t="s">
        <v>56</v>
      </c>
      <c r="Q80" s="8" t="s">
        <v>87</v>
      </c>
      <c r="R80" s="10" t="s">
        <v>583</v>
      </c>
      <c r="S80" s="11" t="s">
        <v>584</v>
      </c>
      <c r="T80" s="6"/>
      <c r="U80" s="14" t="str">
        <f>HYPERLINK("https://media.infra-m.ru/2184/2184916/cover/2184916.jpg", "Обложка")</f>
        <v>Обложка</v>
      </c>
      <c r="V80" s="14" t="str">
        <f>HYPERLINK("https://znanium.ru/catalog/product/2141483", "Ознакомиться")</f>
        <v>Ознакомиться</v>
      </c>
      <c r="W80" s="8" t="s">
        <v>585</v>
      </c>
      <c r="X80" s="6"/>
      <c r="Y80" s="6"/>
      <c r="Z80" s="6"/>
      <c r="AA80" s="6" t="s">
        <v>405</v>
      </c>
      <c r="AB80" s="8"/>
    </row>
    <row r="81" spans="1:28" s="4" customFormat="1" ht="51.95" customHeight="1" x14ac:dyDescent="0.2">
      <c r="A81" s="5">
        <v>0</v>
      </c>
      <c r="B81" s="6" t="s">
        <v>586</v>
      </c>
      <c r="C81" s="7">
        <v>1564</v>
      </c>
      <c r="D81" s="8" t="s">
        <v>587</v>
      </c>
      <c r="E81" s="8" t="s">
        <v>588</v>
      </c>
      <c r="F81" s="8" t="s">
        <v>589</v>
      </c>
      <c r="G81" s="6" t="s">
        <v>53</v>
      </c>
      <c r="H81" s="6" t="s">
        <v>39</v>
      </c>
      <c r="I81" s="8" t="s">
        <v>283</v>
      </c>
      <c r="J81" s="9">
        <v>1</v>
      </c>
      <c r="K81" s="9">
        <v>313</v>
      </c>
      <c r="L81" s="9">
        <v>2025</v>
      </c>
      <c r="M81" s="8" t="s">
        <v>590</v>
      </c>
      <c r="N81" s="8" t="s">
        <v>41</v>
      </c>
      <c r="O81" s="8" t="s">
        <v>42</v>
      </c>
      <c r="P81" s="6" t="s">
        <v>56</v>
      </c>
      <c r="Q81" s="8" t="s">
        <v>87</v>
      </c>
      <c r="R81" s="10" t="s">
        <v>198</v>
      </c>
      <c r="S81" s="11" t="s">
        <v>584</v>
      </c>
      <c r="T81" s="6"/>
      <c r="U81" s="14" t="str">
        <f>HYPERLINK("https://media.infra-m.ru/2184/2184934/cover/2184934.jpg", "Обложка")</f>
        <v>Обложка</v>
      </c>
      <c r="V81" s="14" t="str">
        <f>HYPERLINK("https://znanium.ru/catalog/product/2139517", "Ознакомиться")</f>
        <v>Ознакомиться</v>
      </c>
      <c r="W81" s="8" t="s">
        <v>585</v>
      </c>
      <c r="X81" s="6"/>
      <c r="Y81" s="6"/>
      <c r="Z81" s="6"/>
      <c r="AA81" s="6" t="s">
        <v>115</v>
      </c>
      <c r="AB81" s="8"/>
    </row>
    <row r="82" spans="1:28" s="4" customFormat="1" ht="42" customHeight="1" x14ac:dyDescent="0.2">
      <c r="A82" s="5">
        <v>0</v>
      </c>
      <c r="B82" s="6" t="s">
        <v>591</v>
      </c>
      <c r="C82" s="13">
        <v>640</v>
      </c>
      <c r="D82" s="8" t="s">
        <v>592</v>
      </c>
      <c r="E82" s="8" t="s">
        <v>593</v>
      </c>
      <c r="F82" s="8" t="s">
        <v>394</v>
      </c>
      <c r="G82" s="6" t="s">
        <v>53</v>
      </c>
      <c r="H82" s="6" t="s">
        <v>39</v>
      </c>
      <c r="I82" s="8" t="s">
        <v>283</v>
      </c>
      <c r="J82" s="9">
        <v>1</v>
      </c>
      <c r="K82" s="9">
        <v>162</v>
      </c>
      <c r="L82" s="9">
        <v>2022</v>
      </c>
      <c r="M82" s="8" t="s">
        <v>594</v>
      </c>
      <c r="N82" s="8" t="s">
        <v>41</v>
      </c>
      <c r="O82" s="8" t="s">
        <v>42</v>
      </c>
      <c r="P82" s="6" t="s">
        <v>56</v>
      </c>
      <c r="Q82" s="8" t="s">
        <v>87</v>
      </c>
      <c r="R82" s="10" t="s">
        <v>595</v>
      </c>
      <c r="S82" s="11"/>
      <c r="T82" s="6"/>
      <c r="U82" s="14" t="str">
        <f>HYPERLINK("https://media.infra-m.ru/1864/1864095/cover/1864095.jpg", "Обложка")</f>
        <v>Обложка</v>
      </c>
      <c r="V82" s="14" t="str">
        <f>HYPERLINK("https://znanium.ru/catalog/product/1864095", "Ознакомиться")</f>
        <v>Ознакомиться</v>
      </c>
      <c r="W82" s="8" t="s">
        <v>175</v>
      </c>
      <c r="X82" s="6"/>
      <c r="Y82" s="6"/>
      <c r="Z82" s="6"/>
      <c r="AA82" s="6" t="s">
        <v>330</v>
      </c>
      <c r="AB82" s="8"/>
    </row>
    <row r="83" spans="1:28" s="4" customFormat="1" ht="42" customHeight="1" x14ac:dyDescent="0.2">
      <c r="A83" s="5">
        <v>0</v>
      </c>
      <c r="B83" s="6" t="s">
        <v>596</v>
      </c>
      <c r="C83" s="7">
        <v>1280</v>
      </c>
      <c r="D83" s="8" t="s">
        <v>597</v>
      </c>
      <c r="E83" s="8" t="s">
        <v>598</v>
      </c>
      <c r="F83" s="8" t="s">
        <v>599</v>
      </c>
      <c r="G83" s="6" t="s">
        <v>38</v>
      </c>
      <c r="H83" s="6" t="s">
        <v>39</v>
      </c>
      <c r="I83" s="8" t="s">
        <v>103</v>
      </c>
      <c r="J83" s="9">
        <v>1</v>
      </c>
      <c r="K83" s="9">
        <v>251</v>
      </c>
      <c r="L83" s="9">
        <v>2022</v>
      </c>
      <c r="M83" s="8" t="s">
        <v>600</v>
      </c>
      <c r="N83" s="8" t="s">
        <v>41</v>
      </c>
      <c r="O83" s="8" t="s">
        <v>42</v>
      </c>
      <c r="P83" s="6" t="s">
        <v>105</v>
      </c>
      <c r="Q83" s="8" t="s">
        <v>106</v>
      </c>
      <c r="R83" s="10" t="s">
        <v>97</v>
      </c>
      <c r="S83" s="11"/>
      <c r="T83" s="6"/>
      <c r="U83" s="14" t="str">
        <f>HYPERLINK("https://media.infra-m.ru/1599/1599004/cover/1599004.jpg", "Обложка")</f>
        <v>Обложка</v>
      </c>
      <c r="V83" s="14" t="str">
        <f>HYPERLINK("https://znanium.ru/catalog/product/1599004", "Ознакомиться")</f>
        <v>Ознакомиться</v>
      </c>
      <c r="W83" s="8"/>
      <c r="X83" s="6"/>
      <c r="Y83" s="6"/>
      <c r="Z83" s="6"/>
      <c r="AA83" s="6" t="s">
        <v>184</v>
      </c>
      <c r="AB83" s="8"/>
    </row>
    <row r="84" spans="1:28" s="4" customFormat="1" ht="44.1" customHeight="1" x14ac:dyDescent="0.2">
      <c r="A84" s="5">
        <v>0</v>
      </c>
      <c r="B84" s="6" t="s">
        <v>601</v>
      </c>
      <c r="C84" s="7">
        <v>1800</v>
      </c>
      <c r="D84" s="8" t="s">
        <v>602</v>
      </c>
      <c r="E84" s="8" t="s">
        <v>603</v>
      </c>
      <c r="F84" s="8" t="s">
        <v>604</v>
      </c>
      <c r="G84" s="6" t="s">
        <v>64</v>
      </c>
      <c r="H84" s="6" t="s">
        <v>95</v>
      </c>
      <c r="I84" s="8" t="s">
        <v>410</v>
      </c>
      <c r="J84" s="9">
        <v>1</v>
      </c>
      <c r="K84" s="9">
        <v>111</v>
      </c>
      <c r="L84" s="9">
        <v>2026</v>
      </c>
      <c r="M84" s="8" t="s">
        <v>605</v>
      </c>
      <c r="N84" s="8" t="s">
        <v>41</v>
      </c>
      <c r="O84" s="8" t="s">
        <v>42</v>
      </c>
      <c r="P84" s="6" t="s">
        <v>56</v>
      </c>
      <c r="Q84" s="8" t="s">
        <v>121</v>
      </c>
      <c r="R84" s="10" t="s">
        <v>606</v>
      </c>
      <c r="S84" s="11"/>
      <c r="T84" s="6"/>
      <c r="U84" s="14" t="str">
        <f>HYPERLINK("https://media.infra-m.ru/2217/2217555/cover/2217555.jpg", "Обложка")</f>
        <v>Обложка</v>
      </c>
      <c r="V84" s="14" t="str">
        <f>HYPERLINK("https://znanium.ru/catalog/product/2217555", "Ознакомиться")</f>
        <v>Ознакомиться</v>
      </c>
      <c r="W84" s="8" t="s">
        <v>607</v>
      </c>
      <c r="X84" s="6"/>
      <c r="Y84" s="6"/>
      <c r="Z84" s="6"/>
      <c r="AA84" s="6" t="s">
        <v>176</v>
      </c>
      <c r="AB84" s="8"/>
    </row>
    <row r="85" spans="1:28" s="4" customFormat="1" ht="51.95" customHeight="1" x14ac:dyDescent="0.2">
      <c r="A85" s="5">
        <v>0</v>
      </c>
      <c r="B85" s="6" t="s">
        <v>608</v>
      </c>
      <c r="C85" s="7">
        <v>1494.9</v>
      </c>
      <c r="D85" s="8" t="s">
        <v>609</v>
      </c>
      <c r="E85" s="8" t="s">
        <v>610</v>
      </c>
      <c r="F85" s="8" t="s">
        <v>611</v>
      </c>
      <c r="G85" s="6" t="s">
        <v>38</v>
      </c>
      <c r="H85" s="6" t="s">
        <v>350</v>
      </c>
      <c r="I85" s="8" t="s">
        <v>54</v>
      </c>
      <c r="J85" s="9">
        <v>1</v>
      </c>
      <c r="K85" s="9">
        <v>640</v>
      </c>
      <c r="L85" s="9">
        <v>2018</v>
      </c>
      <c r="M85" s="8" t="s">
        <v>612</v>
      </c>
      <c r="N85" s="8" t="s">
        <v>41</v>
      </c>
      <c r="O85" s="8" t="s">
        <v>42</v>
      </c>
      <c r="P85" s="6" t="s">
        <v>56</v>
      </c>
      <c r="Q85" s="8" t="s">
        <v>87</v>
      </c>
      <c r="R85" s="10" t="s">
        <v>613</v>
      </c>
      <c r="S85" s="11" t="s">
        <v>614</v>
      </c>
      <c r="T85" s="6"/>
      <c r="U85" s="12"/>
      <c r="V85" s="14" t="str">
        <f>HYPERLINK("https://znanium.ru/catalog/product/2210893", "Ознакомиться")</f>
        <v>Ознакомиться</v>
      </c>
      <c r="W85" s="8" t="s">
        <v>615</v>
      </c>
      <c r="X85" s="6"/>
      <c r="Y85" s="6"/>
      <c r="Z85" s="6"/>
      <c r="AA85" s="6" t="s">
        <v>616</v>
      </c>
      <c r="AB85" s="8"/>
    </row>
    <row r="86" spans="1:28" s="4" customFormat="1" ht="51.95" customHeight="1" x14ac:dyDescent="0.2">
      <c r="A86" s="5">
        <v>0</v>
      </c>
      <c r="B86" s="6" t="s">
        <v>617</v>
      </c>
      <c r="C86" s="7">
        <v>2450</v>
      </c>
      <c r="D86" s="8" t="s">
        <v>618</v>
      </c>
      <c r="E86" s="8" t="s">
        <v>619</v>
      </c>
      <c r="F86" s="8" t="s">
        <v>620</v>
      </c>
      <c r="G86" s="6" t="s">
        <v>38</v>
      </c>
      <c r="H86" s="6" t="s">
        <v>39</v>
      </c>
      <c r="I86" s="8" t="s">
        <v>54</v>
      </c>
      <c r="J86" s="9">
        <v>1</v>
      </c>
      <c r="K86" s="9">
        <v>470</v>
      </c>
      <c r="L86" s="9">
        <v>2025</v>
      </c>
      <c r="M86" s="8" t="s">
        <v>621</v>
      </c>
      <c r="N86" s="8" t="s">
        <v>41</v>
      </c>
      <c r="O86" s="8" t="s">
        <v>42</v>
      </c>
      <c r="P86" s="6" t="s">
        <v>56</v>
      </c>
      <c r="Q86" s="8" t="s">
        <v>121</v>
      </c>
      <c r="R86" s="10" t="s">
        <v>613</v>
      </c>
      <c r="S86" s="11" t="s">
        <v>622</v>
      </c>
      <c r="T86" s="6"/>
      <c r="U86" s="14" t="str">
        <f>HYPERLINK("https://media.infra-m.ru/2210/2210893/cover/2210893.jpg", "Обложка")</f>
        <v>Обложка</v>
      </c>
      <c r="V86" s="14" t="str">
        <f>HYPERLINK("https://znanium.ru/catalog/product/2210893", "Ознакомиться")</f>
        <v>Ознакомиться</v>
      </c>
      <c r="W86" s="8" t="s">
        <v>615</v>
      </c>
      <c r="X86" s="6"/>
      <c r="Y86" s="6"/>
      <c r="Z86" s="6"/>
      <c r="AA86" s="6" t="s">
        <v>623</v>
      </c>
      <c r="AB86" s="8"/>
    </row>
    <row r="87" spans="1:28" s="4" customFormat="1" ht="51.95" customHeight="1" x14ac:dyDescent="0.2">
      <c r="A87" s="5">
        <v>0</v>
      </c>
      <c r="B87" s="6" t="s">
        <v>624</v>
      </c>
      <c r="C87" s="7">
        <v>1204</v>
      </c>
      <c r="D87" s="8" t="s">
        <v>625</v>
      </c>
      <c r="E87" s="8" t="s">
        <v>626</v>
      </c>
      <c r="F87" s="8" t="s">
        <v>627</v>
      </c>
      <c r="G87" s="6" t="s">
        <v>53</v>
      </c>
      <c r="H87" s="6" t="s">
        <v>39</v>
      </c>
      <c r="I87" s="8" t="s">
        <v>54</v>
      </c>
      <c r="J87" s="9">
        <v>1</v>
      </c>
      <c r="K87" s="9">
        <v>219</v>
      </c>
      <c r="L87" s="9">
        <v>2026</v>
      </c>
      <c r="M87" s="8" t="s">
        <v>628</v>
      </c>
      <c r="N87" s="8" t="s">
        <v>41</v>
      </c>
      <c r="O87" s="8" t="s">
        <v>42</v>
      </c>
      <c r="P87" s="6" t="s">
        <v>56</v>
      </c>
      <c r="Q87" s="8" t="s">
        <v>44</v>
      </c>
      <c r="R87" s="10" t="s">
        <v>629</v>
      </c>
      <c r="S87" s="11" t="s">
        <v>630</v>
      </c>
      <c r="T87" s="6"/>
      <c r="U87" s="14" t="str">
        <f>HYPERLINK("https://media.infra-m.ru/2199/2199634/cover/2199634.jpg", "Обложка")</f>
        <v>Обложка</v>
      </c>
      <c r="V87" s="14" t="str">
        <f>HYPERLINK("https://znanium.ru/catalog/product/2197590", "Ознакомиться")</f>
        <v>Ознакомиться</v>
      </c>
      <c r="W87" s="8" t="s">
        <v>631</v>
      </c>
      <c r="X87" s="6"/>
      <c r="Y87" s="6"/>
      <c r="Z87" s="6"/>
      <c r="AA87" s="6" t="s">
        <v>330</v>
      </c>
      <c r="AB87" s="8" t="s">
        <v>331</v>
      </c>
    </row>
    <row r="88" spans="1:28" s="4" customFormat="1" ht="51.95" customHeight="1" x14ac:dyDescent="0.2">
      <c r="A88" s="5">
        <v>0</v>
      </c>
      <c r="B88" s="6" t="s">
        <v>632</v>
      </c>
      <c r="C88" s="7">
        <v>1204</v>
      </c>
      <c r="D88" s="8" t="s">
        <v>633</v>
      </c>
      <c r="E88" s="8" t="s">
        <v>626</v>
      </c>
      <c r="F88" s="8" t="s">
        <v>627</v>
      </c>
      <c r="G88" s="6" t="s">
        <v>53</v>
      </c>
      <c r="H88" s="6" t="s">
        <v>39</v>
      </c>
      <c r="I88" s="8" t="s">
        <v>139</v>
      </c>
      <c r="J88" s="9">
        <v>1</v>
      </c>
      <c r="K88" s="9">
        <v>219</v>
      </c>
      <c r="L88" s="9">
        <v>2026</v>
      </c>
      <c r="M88" s="8" t="s">
        <v>634</v>
      </c>
      <c r="N88" s="8" t="s">
        <v>41</v>
      </c>
      <c r="O88" s="8" t="s">
        <v>42</v>
      </c>
      <c r="P88" s="6" t="s">
        <v>56</v>
      </c>
      <c r="Q88" s="8" t="s">
        <v>141</v>
      </c>
      <c r="R88" s="10" t="s">
        <v>635</v>
      </c>
      <c r="S88" s="11" t="s">
        <v>636</v>
      </c>
      <c r="T88" s="6"/>
      <c r="U88" s="14" t="str">
        <f>HYPERLINK("https://media.infra-m.ru/2230/2230631/cover/2230631.jpg", "Обложка")</f>
        <v>Обложка</v>
      </c>
      <c r="V88" s="14" t="str">
        <f>HYPERLINK("https://znanium.ru/catalog/product/2216018", "Ознакомиться")</f>
        <v>Ознакомиться</v>
      </c>
      <c r="W88" s="8" t="s">
        <v>631</v>
      </c>
      <c r="X88" s="6"/>
      <c r="Y88" s="6"/>
      <c r="Z88" s="6" t="s">
        <v>637</v>
      </c>
      <c r="AA88" s="6" t="s">
        <v>405</v>
      </c>
      <c r="AB88" s="8"/>
    </row>
    <row r="89" spans="1:28" s="4" customFormat="1" ht="51.95" customHeight="1" x14ac:dyDescent="0.2">
      <c r="A89" s="5">
        <v>0</v>
      </c>
      <c r="B89" s="6" t="s">
        <v>638</v>
      </c>
      <c r="C89" s="13">
        <v>854</v>
      </c>
      <c r="D89" s="8" t="s">
        <v>639</v>
      </c>
      <c r="E89" s="8" t="s">
        <v>640</v>
      </c>
      <c r="F89" s="8" t="s">
        <v>641</v>
      </c>
      <c r="G89" s="6" t="s">
        <v>53</v>
      </c>
      <c r="H89" s="6" t="s">
        <v>39</v>
      </c>
      <c r="I89" s="8" t="s">
        <v>139</v>
      </c>
      <c r="J89" s="9">
        <v>1</v>
      </c>
      <c r="K89" s="9">
        <v>164</v>
      </c>
      <c r="L89" s="9">
        <v>2025</v>
      </c>
      <c r="M89" s="8" t="s">
        <v>642</v>
      </c>
      <c r="N89" s="8" t="s">
        <v>41</v>
      </c>
      <c r="O89" s="8" t="s">
        <v>42</v>
      </c>
      <c r="P89" s="6" t="s">
        <v>56</v>
      </c>
      <c r="Q89" s="8" t="s">
        <v>141</v>
      </c>
      <c r="R89" s="10" t="s">
        <v>643</v>
      </c>
      <c r="S89" s="11" t="s">
        <v>644</v>
      </c>
      <c r="T89" s="6"/>
      <c r="U89" s="14" t="str">
        <f>HYPERLINK("https://media.infra-m.ru/2210/2210892/cover/2210892.jpg", "Обложка")</f>
        <v>Обложка</v>
      </c>
      <c r="V89" s="14" t="str">
        <f>HYPERLINK("https://znanium.ru/catalog/product/2210345", "Ознакомиться")</f>
        <v>Ознакомиться</v>
      </c>
      <c r="W89" s="8" t="s">
        <v>631</v>
      </c>
      <c r="X89" s="6"/>
      <c r="Y89" s="6"/>
      <c r="Z89" s="6" t="s">
        <v>144</v>
      </c>
      <c r="AA89" s="6" t="s">
        <v>405</v>
      </c>
      <c r="AB89" s="8"/>
    </row>
    <row r="90" spans="1:28" s="4" customFormat="1" ht="51.95" customHeight="1" x14ac:dyDescent="0.2">
      <c r="A90" s="5">
        <v>0</v>
      </c>
      <c r="B90" s="6" t="s">
        <v>645</v>
      </c>
      <c r="C90" s="7">
        <v>1160</v>
      </c>
      <c r="D90" s="8" t="s">
        <v>646</v>
      </c>
      <c r="E90" s="8" t="s">
        <v>647</v>
      </c>
      <c r="F90" s="8" t="s">
        <v>627</v>
      </c>
      <c r="G90" s="6" t="s">
        <v>53</v>
      </c>
      <c r="H90" s="6" t="s">
        <v>39</v>
      </c>
      <c r="I90" s="8" t="s">
        <v>54</v>
      </c>
      <c r="J90" s="9">
        <v>1</v>
      </c>
      <c r="K90" s="9">
        <v>223</v>
      </c>
      <c r="L90" s="9">
        <v>2025</v>
      </c>
      <c r="M90" s="8" t="s">
        <v>648</v>
      </c>
      <c r="N90" s="8" t="s">
        <v>41</v>
      </c>
      <c r="O90" s="8" t="s">
        <v>42</v>
      </c>
      <c r="P90" s="6" t="s">
        <v>56</v>
      </c>
      <c r="Q90" s="8" t="s">
        <v>121</v>
      </c>
      <c r="R90" s="10" t="s">
        <v>629</v>
      </c>
      <c r="S90" s="11" t="s">
        <v>649</v>
      </c>
      <c r="T90" s="6"/>
      <c r="U90" s="14" t="str">
        <f>HYPERLINK("https://media.infra-m.ru/2198/2198507/cover/2198507.jpg", "Обложка")</f>
        <v>Обложка</v>
      </c>
      <c r="V90" s="14" t="str">
        <f>HYPERLINK("https://znanium.ru/catalog/product/2198507", "Ознакомиться")</f>
        <v>Ознакомиться</v>
      </c>
      <c r="W90" s="8" t="s">
        <v>631</v>
      </c>
      <c r="X90" s="6"/>
      <c r="Y90" s="6"/>
      <c r="Z90" s="6"/>
      <c r="AA90" s="6" t="s">
        <v>405</v>
      </c>
      <c r="AB90" s="8"/>
    </row>
    <row r="91" spans="1:28" s="4" customFormat="1" ht="51.95" customHeight="1" x14ac:dyDescent="0.2">
      <c r="A91" s="5">
        <v>0</v>
      </c>
      <c r="B91" s="6" t="s">
        <v>650</v>
      </c>
      <c r="C91" s="7">
        <v>1224</v>
      </c>
      <c r="D91" s="8" t="s">
        <v>651</v>
      </c>
      <c r="E91" s="8" t="s">
        <v>647</v>
      </c>
      <c r="F91" s="8" t="s">
        <v>627</v>
      </c>
      <c r="G91" s="6" t="s">
        <v>53</v>
      </c>
      <c r="H91" s="6" t="s">
        <v>39</v>
      </c>
      <c r="I91" s="8" t="s">
        <v>139</v>
      </c>
      <c r="J91" s="9">
        <v>1</v>
      </c>
      <c r="K91" s="9">
        <v>223</v>
      </c>
      <c r="L91" s="9">
        <v>2026</v>
      </c>
      <c r="M91" s="8" t="s">
        <v>652</v>
      </c>
      <c r="N91" s="8" t="s">
        <v>41</v>
      </c>
      <c r="O91" s="8" t="s">
        <v>42</v>
      </c>
      <c r="P91" s="6" t="s">
        <v>56</v>
      </c>
      <c r="Q91" s="8" t="s">
        <v>141</v>
      </c>
      <c r="R91" s="10" t="s">
        <v>653</v>
      </c>
      <c r="S91" s="11" t="s">
        <v>654</v>
      </c>
      <c r="T91" s="6"/>
      <c r="U91" s="14" t="str">
        <f>HYPERLINK("https://media.infra-m.ru/2224/2224146/cover/2224146.jpg", "Обложка")</f>
        <v>Обложка</v>
      </c>
      <c r="V91" s="14" t="str">
        <f>HYPERLINK("https://znanium.ru/catalog/product/1919426", "Ознакомиться")</f>
        <v>Ознакомиться</v>
      </c>
      <c r="W91" s="8" t="s">
        <v>631</v>
      </c>
      <c r="X91" s="6"/>
      <c r="Y91" s="6"/>
      <c r="Z91" s="6" t="s">
        <v>144</v>
      </c>
      <c r="AA91" s="6" t="s">
        <v>405</v>
      </c>
      <c r="AB91" s="8"/>
    </row>
    <row r="92" spans="1:28" s="4" customFormat="1" ht="51.95" customHeight="1" x14ac:dyDescent="0.2">
      <c r="A92" s="5">
        <v>0</v>
      </c>
      <c r="B92" s="6" t="s">
        <v>655</v>
      </c>
      <c r="C92" s="13">
        <v>850</v>
      </c>
      <c r="D92" s="8" t="s">
        <v>656</v>
      </c>
      <c r="E92" s="8" t="s">
        <v>657</v>
      </c>
      <c r="F92" s="8" t="s">
        <v>627</v>
      </c>
      <c r="G92" s="6" t="s">
        <v>53</v>
      </c>
      <c r="H92" s="6" t="s">
        <v>39</v>
      </c>
      <c r="I92" s="8" t="s">
        <v>139</v>
      </c>
      <c r="J92" s="9">
        <v>1</v>
      </c>
      <c r="K92" s="9">
        <v>158</v>
      </c>
      <c r="L92" s="9">
        <v>2026</v>
      </c>
      <c r="M92" s="8" t="s">
        <v>658</v>
      </c>
      <c r="N92" s="8" t="s">
        <v>41</v>
      </c>
      <c r="O92" s="8" t="s">
        <v>42</v>
      </c>
      <c r="P92" s="6" t="s">
        <v>56</v>
      </c>
      <c r="Q92" s="8" t="s">
        <v>141</v>
      </c>
      <c r="R92" s="10" t="s">
        <v>635</v>
      </c>
      <c r="S92" s="11" t="s">
        <v>654</v>
      </c>
      <c r="T92" s="6"/>
      <c r="U92" s="14" t="str">
        <f>HYPERLINK("https://media.infra-m.ru/2218/2218361/cover/2218361.jpg", "Обложка")</f>
        <v>Обложка</v>
      </c>
      <c r="V92" s="14" t="str">
        <f>HYPERLINK("https://znanium.ru/catalog/product/2218361", "Ознакомиться")</f>
        <v>Ознакомиться</v>
      </c>
      <c r="W92" s="8" t="s">
        <v>631</v>
      </c>
      <c r="X92" s="6"/>
      <c r="Y92" s="6"/>
      <c r="Z92" s="6" t="s">
        <v>144</v>
      </c>
      <c r="AA92" s="6" t="s">
        <v>405</v>
      </c>
      <c r="AB92" s="8"/>
    </row>
    <row r="93" spans="1:28" s="4" customFormat="1" ht="51.95" customHeight="1" x14ac:dyDescent="0.2">
      <c r="A93" s="5">
        <v>0</v>
      </c>
      <c r="B93" s="6" t="s">
        <v>659</v>
      </c>
      <c r="C93" s="13">
        <v>854</v>
      </c>
      <c r="D93" s="8" t="s">
        <v>660</v>
      </c>
      <c r="E93" s="8" t="s">
        <v>640</v>
      </c>
      <c r="F93" s="8" t="s">
        <v>641</v>
      </c>
      <c r="G93" s="6" t="s">
        <v>53</v>
      </c>
      <c r="H93" s="6" t="s">
        <v>39</v>
      </c>
      <c r="I93" s="8" t="s">
        <v>661</v>
      </c>
      <c r="J93" s="9">
        <v>1</v>
      </c>
      <c r="K93" s="9">
        <v>164</v>
      </c>
      <c r="L93" s="9">
        <v>2025</v>
      </c>
      <c r="M93" s="8" t="s">
        <v>662</v>
      </c>
      <c r="N93" s="8" t="s">
        <v>41</v>
      </c>
      <c r="O93" s="8" t="s">
        <v>42</v>
      </c>
      <c r="P93" s="6" t="s">
        <v>56</v>
      </c>
      <c r="Q93" s="8" t="s">
        <v>121</v>
      </c>
      <c r="R93" s="10" t="s">
        <v>629</v>
      </c>
      <c r="S93" s="11" t="s">
        <v>663</v>
      </c>
      <c r="T93" s="6"/>
      <c r="U93" s="14" t="str">
        <f>HYPERLINK("https://media.infra-m.ru/2204/2204890/cover/2204890.jpg", "Обложка")</f>
        <v>Обложка</v>
      </c>
      <c r="V93" s="14" t="str">
        <f>HYPERLINK("https://znanium.ru/catalog/product/1915404", "Ознакомиться")</f>
        <v>Ознакомиться</v>
      </c>
      <c r="W93" s="8" t="s">
        <v>631</v>
      </c>
      <c r="X93" s="6"/>
      <c r="Y93" s="6"/>
      <c r="Z93" s="6"/>
      <c r="AA93" s="6" t="s">
        <v>405</v>
      </c>
      <c r="AB93" s="8"/>
    </row>
    <row r="94" spans="1:28" s="4" customFormat="1" ht="51.95" customHeight="1" x14ac:dyDescent="0.2">
      <c r="A94" s="5">
        <v>0</v>
      </c>
      <c r="B94" s="6" t="s">
        <v>664</v>
      </c>
      <c r="C94" s="13">
        <v>900</v>
      </c>
      <c r="D94" s="8" t="s">
        <v>665</v>
      </c>
      <c r="E94" s="8" t="s">
        <v>657</v>
      </c>
      <c r="F94" s="8" t="s">
        <v>627</v>
      </c>
      <c r="G94" s="6" t="s">
        <v>53</v>
      </c>
      <c r="H94" s="6" t="s">
        <v>39</v>
      </c>
      <c r="I94" s="8" t="s">
        <v>54</v>
      </c>
      <c r="J94" s="9">
        <v>1</v>
      </c>
      <c r="K94" s="9">
        <v>158</v>
      </c>
      <c r="L94" s="9">
        <v>2026</v>
      </c>
      <c r="M94" s="8" t="s">
        <v>666</v>
      </c>
      <c r="N94" s="8" t="s">
        <v>41</v>
      </c>
      <c r="O94" s="8" t="s">
        <v>42</v>
      </c>
      <c r="P94" s="6" t="s">
        <v>56</v>
      </c>
      <c r="Q94" s="8" t="s">
        <v>121</v>
      </c>
      <c r="R94" s="10" t="s">
        <v>629</v>
      </c>
      <c r="S94" s="11" t="s">
        <v>667</v>
      </c>
      <c r="T94" s="6"/>
      <c r="U94" s="14" t="str">
        <f>HYPERLINK("https://media.infra-m.ru/2224/2224071/cover/2224071.jpg", "Обложка")</f>
        <v>Обложка</v>
      </c>
      <c r="V94" s="14" t="str">
        <f>HYPERLINK("https://znanium.ru/catalog/product/2224071", "Ознакомиться")</f>
        <v>Ознакомиться</v>
      </c>
      <c r="W94" s="8" t="s">
        <v>631</v>
      </c>
      <c r="X94" s="6"/>
      <c r="Y94" s="6"/>
      <c r="Z94" s="6"/>
      <c r="AA94" s="6" t="s">
        <v>405</v>
      </c>
      <c r="AB94" s="8"/>
    </row>
    <row r="95" spans="1:28" s="4" customFormat="1" ht="51.95" customHeight="1" x14ac:dyDescent="0.2">
      <c r="A95" s="5">
        <v>0</v>
      </c>
      <c r="B95" s="6" t="s">
        <v>668</v>
      </c>
      <c r="C95" s="13">
        <v>790</v>
      </c>
      <c r="D95" s="8" t="s">
        <v>669</v>
      </c>
      <c r="E95" s="8" t="s">
        <v>670</v>
      </c>
      <c r="F95" s="8" t="s">
        <v>627</v>
      </c>
      <c r="G95" s="6" t="s">
        <v>53</v>
      </c>
      <c r="H95" s="6" t="s">
        <v>39</v>
      </c>
      <c r="I95" s="8" t="s">
        <v>139</v>
      </c>
      <c r="J95" s="9">
        <v>1</v>
      </c>
      <c r="K95" s="9">
        <v>140</v>
      </c>
      <c r="L95" s="9">
        <v>2026</v>
      </c>
      <c r="M95" s="8" t="s">
        <v>671</v>
      </c>
      <c r="N95" s="8" t="s">
        <v>41</v>
      </c>
      <c r="O95" s="8" t="s">
        <v>42</v>
      </c>
      <c r="P95" s="6" t="s">
        <v>56</v>
      </c>
      <c r="Q95" s="8" t="s">
        <v>141</v>
      </c>
      <c r="R95" s="10" t="s">
        <v>643</v>
      </c>
      <c r="S95" s="11" t="s">
        <v>654</v>
      </c>
      <c r="T95" s="6"/>
      <c r="U95" s="14" t="str">
        <f>HYPERLINK("https://media.infra-m.ru/2214/2214850/cover/2214850.jpg", "Обложка")</f>
        <v>Обложка</v>
      </c>
      <c r="V95" s="14" t="str">
        <f>HYPERLINK("https://znanium.ru/catalog/product/2214850", "Ознакомиться")</f>
        <v>Ознакомиться</v>
      </c>
      <c r="W95" s="8" t="s">
        <v>631</v>
      </c>
      <c r="X95" s="6"/>
      <c r="Y95" s="6"/>
      <c r="Z95" s="6" t="s">
        <v>144</v>
      </c>
      <c r="AA95" s="6" t="s">
        <v>405</v>
      </c>
      <c r="AB95" s="8"/>
    </row>
    <row r="96" spans="1:28" s="4" customFormat="1" ht="51.95" customHeight="1" x14ac:dyDescent="0.2">
      <c r="A96" s="5">
        <v>0</v>
      </c>
      <c r="B96" s="6" t="s">
        <v>672</v>
      </c>
      <c r="C96" s="13">
        <v>760</v>
      </c>
      <c r="D96" s="8" t="s">
        <v>673</v>
      </c>
      <c r="E96" s="8" t="s">
        <v>670</v>
      </c>
      <c r="F96" s="8" t="s">
        <v>627</v>
      </c>
      <c r="G96" s="6" t="s">
        <v>64</v>
      </c>
      <c r="H96" s="6" t="s">
        <v>39</v>
      </c>
      <c r="I96" s="8" t="s">
        <v>54</v>
      </c>
      <c r="J96" s="9">
        <v>1</v>
      </c>
      <c r="K96" s="9">
        <v>140</v>
      </c>
      <c r="L96" s="9">
        <v>2026</v>
      </c>
      <c r="M96" s="8" t="s">
        <v>674</v>
      </c>
      <c r="N96" s="8" t="s">
        <v>41</v>
      </c>
      <c r="O96" s="8" t="s">
        <v>42</v>
      </c>
      <c r="P96" s="6" t="s">
        <v>56</v>
      </c>
      <c r="Q96" s="8" t="s">
        <v>121</v>
      </c>
      <c r="R96" s="10" t="s">
        <v>629</v>
      </c>
      <c r="S96" s="11" t="s">
        <v>630</v>
      </c>
      <c r="T96" s="6"/>
      <c r="U96" s="14" t="str">
        <f>HYPERLINK("https://media.infra-m.ru/2216/2216015/cover/2216015.jpg", "Обложка")</f>
        <v>Обложка</v>
      </c>
      <c r="V96" s="14" t="str">
        <f>HYPERLINK("https://znanium.ru/catalog/product/2216015", "Ознакомиться")</f>
        <v>Ознакомиться</v>
      </c>
      <c r="W96" s="8" t="s">
        <v>631</v>
      </c>
      <c r="X96" s="6"/>
      <c r="Y96" s="6"/>
      <c r="Z96" s="6"/>
      <c r="AA96" s="6" t="s">
        <v>405</v>
      </c>
      <c r="AB96" s="8"/>
    </row>
    <row r="97" spans="1:28" s="4" customFormat="1" ht="42" customHeight="1" x14ac:dyDescent="0.2">
      <c r="A97" s="5">
        <v>0</v>
      </c>
      <c r="B97" s="6" t="s">
        <v>675</v>
      </c>
      <c r="C97" s="13">
        <v>650</v>
      </c>
      <c r="D97" s="8" t="s">
        <v>676</v>
      </c>
      <c r="E97" s="8" t="s">
        <v>677</v>
      </c>
      <c r="F97" s="8" t="s">
        <v>678</v>
      </c>
      <c r="G97" s="6" t="s">
        <v>64</v>
      </c>
      <c r="H97" s="6" t="s">
        <v>39</v>
      </c>
      <c r="I97" s="8" t="s">
        <v>679</v>
      </c>
      <c r="J97" s="9">
        <v>1</v>
      </c>
      <c r="K97" s="9">
        <v>144</v>
      </c>
      <c r="L97" s="9">
        <v>2023</v>
      </c>
      <c r="M97" s="8" t="s">
        <v>680</v>
      </c>
      <c r="N97" s="8" t="s">
        <v>41</v>
      </c>
      <c r="O97" s="8" t="s">
        <v>42</v>
      </c>
      <c r="P97" s="6" t="s">
        <v>105</v>
      </c>
      <c r="Q97" s="8" t="s">
        <v>106</v>
      </c>
      <c r="R97" s="10" t="s">
        <v>97</v>
      </c>
      <c r="S97" s="11"/>
      <c r="T97" s="6"/>
      <c r="U97" s="14" t="str">
        <f>HYPERLINK("https://media.infra-m.ru/1976/1976137/cover/1976137.jpg", "Обложка")</f>
        <v>Обложка</v>
      </c>
      <c r="V97" s="14" t="str">
        <f>HYPERLINK("https://znanium.ru/catalog/product/1976137", "Ознакомиться")</f>
        <v>Ознакомиться</v>
      </c>
      <c r="W97" s="8" t="s">
        <v>58</v>
      </c>
      <c r="X97" s="6"/>
      <c r="Y97" s="6"/>
      <c r="Z97" s="6"/>
      <c r="AA97" s="6" t="s">
        <v>115</v>
      </c>
      <c r="AB97" s="8"/>
    </row>
    <row r="98" spans="1:28" s="4" customFormat="1" ht="42" customHeight="1" x14ac:dyDescent="0.2">
      <c r="A98" s="5">
        <v>0</v>
      </c>
      <c r="B98" s="6" t="s">
        <v>681</v>
      </c>
      <c r="C98" s="7">
        <v>1224</v>
      </c>
      <c r="D98" s="8" t="s">
        <v>682</v>
      </c>
      <c r="E98" s="8" t="s">
        <v>683</v>
      </c>
      <c r="F98" s="8" t="s">
        <v>684</v>
      </c>
      <c r="G98" s="6" t="s">
        <v>53</v>
      </c>
      <c r="H98" s="6" t="s">
        <v>39</v>
      </c>
      <c r="I98" s="8" t="s">
        <v>103</v>
      </c>
      <c r="J98" s="9">
        <v>1</v>
      </c>
      <c r="K98" s="9">
        <v>187</v>
      </c>
      <c r="L98" s="9">
        <v>2025</v>
      </c>
      <c r="M98" s="8" t="s">
        <v>685</v>
      </c>
      <c r="N98" s="8" t="s">
        <v>41</v>
      </c>
      <c r="O98" s="8" t="s">
        <v>42</v>
      </c>
      <c r="P98" s="6" t="s">
        <v>105</v>
      </c>
      <c r="Q98" s="8" t="s">
        <v>106</v>
      </c>
      <c r="R98" s="10" t="s">
        <v>396</v>
      </c>
      <c r="S98" s="11"/>
      <c r="T98" s="6"/>
      <c r="U98" s="14" t="str">
        <f>HYPERLINK("https://media.infra-m.ru/2170/2170649/cover/2170649.jpg", "Обложка")</f>
        <v>Обложка</v>
      </c>
      <c r="V98" s="14" t="str">
        <f>HYPERLINK("https://znanium.ru/catalog/product/1873828", "Ознакомиться")</f>
        <v>Ознакомиться</v>
      </c>
      <c r="W98" s="8" t="s">
        <v>175</v>
      </c>
      <c r="X98" s="6"/>
      <c r="Y98" s="6"/>
      <c r="Z98" s="6"/>
      <c r="AA98" s="6" t="s">
        <v>59</v>
      </c>
      <c r="AB98" s="8"/>
    </row>
    <row r="99" spans="1:28" s="4" customFormat="1" ht="51.95" customHeight="1" x14ac:dyDescent="0.2">
      <c r="A99" s="5">
        <v>0</v>
      </c>
      <c r="B99" s="6" t="s">
        <v>686</v>
      </c>
      <c r="C99" s="7">
        <v>2692</v>
      </c>
      <c r="D99" s="8" t="s">
        <v>687</v>
      </c>
      <c r="E99" s="8" t="s">
        <v>688</v>
      </c>
      <c r="F99" s="8" t="s">
        <v>689</v>
      </c>
      <c r="G99" s="6" t="s">
        <v>53</v>
      </c>
      <c r="H99" s="6" t="s">
        <v>350</v>
      </c>
      <c r="I99" s="8" t="s">
        <v>690</v>
      </c>
      <c r="J99" s="9">
        <v>1</v>
      </c>
      <c r="K99" s="9">
        <v>400</v>
      </c>
      <c r="L99" s="9">
        <v>2025</v>
      </c>
      <c r="M99" s="8" t="s">
        <v>691</v>
      </c>
      <c r="N99" s="8" t="s">
        <v>41</v>
      </c>
      <c r="O99" s="8" t="s">
        <v>42</v>
      </c>
      <c r="P99" s="6" t="s">
        <v>56</v>
      </c>
      <c r="Q99" s="8" t="s">
        <v>141</v>
      </c>
      <c r="R99" s="10" t="s">
        <v>692</v>
      </c>
      <c r="S99" s="11" t="s">
        <v>693</v>
      </c>
      <c r="T99" s="6"/>
      <c r="U99" s="14" t="str">
        <f>HYPERLINK("https://media.infra-m.ru/2208/2208223/cover/2208223.jpg", "Обложка")</f>
        <v>Обложка</v>
      </c>
      <c r="V99" s="14" t="str">
        <f>HYPERLINK("https://znanium.ru/catalog/product/2208223", "Ознакомиться")</f>
        <v>Ознакомиться</v>
      </c>
      <c r="W99" s="8" t="s">
        <v>114</v>
      </c>
      <c r="X99" s="6"/>
      <c r="Y99" s="6"/>
      <c r="Z99" s="6"/>
      <c r="AA99" s="6" t="s">
        <v>272</v>
      </c>
      <c r="AB99" s="8"/>
    </row>
    <row r="100" spans="1:28" s="4" customFormat="1" ht="42" customHeight="1" x14ac:dyDescent="0.2">
      <c r="A100" s="5">
        <v>0</v>
      </c>
      <c r="B100" s="6" t="s">
        <v>694</v>
      </c>
      <c r="C100" s="7">
        <v>1564</v>
      </c>
      <c r="D100" s="8" t="s">
        <v>695</v>
      </c>
      <c r="E100" s="8" t="s">
        <v>696</v>
      </c>
      <c r="F100" s="8" t="s">
        <v>697</v>
      </c>
      <c r="G100" s="6" t="s">
        <v>38</v>
      </c>
      <c r="H100" s="6" t="s">
        <v>39</v>
      </c>
      <c r="I100" s="8" t="s">
        <v>54</v>
      </c>
      <c r="J100" s="9">
        <v>1</v>
      </c>
      <c r="K100" s="9">
        <v>284</v>
      </c>
      <c r="L100" s="9">
        <v>2026</v>
      </c>
      <c r="M100" s="8" t="s">
        <v>698</v>
      </c>
      <c r="N100" s="8" t="s">
        <v>41</v>
      </c>
      <c r="O100" s="8" t="s">
        <v>42</v>
      </c>
      <c r="P100" s="6" t="s">
        <v>56</v>
      </c>
      <c r="Q100" s="8" t="s">
        <v>121</v>
      </c>
      <c r="R100" s="10" t="s">
        <v>97</v>
      </c>
      <c r="S100" s="11"/>
      <c r="T100" s="6"/>
      <c r="U100" s="14" t="str">
        <f>HYPERLINK("https://media.infra-m.ru/2227/2227030/cover/2227030.jpg", "Обложка")</f>
        <v>Обложка</v>
      </c>
      <c r="V100" s="12"/>
      <c r="W100" s="8" t="s">
        <v>699</v>
      </c>
      <c r="X100" s="6"/>
      <c r="Y100" s="6"/>
      <c r="Z100" s="6"/>
      <c r="AA100" s="6" t="s">
        <v>125</v>
      </c>
      <c r="AB100" s="8"/>
    </row>
    <row r="101" spans="1:28" s="4" customFormat="1" ht="51.95" customHeight="1" x14ac:dyDescent="0.2">
      <c r="A101" s="5">
        <v>0</v>
      </c>
      <c r="B101" s="6" t="s">
        <v>700</v>
      </c>
      <c r="C101" s="13">
        <v>754</v>
      </c>
      <c r="D101" s="8" t="s">
        <v>701</v>
      </c>
      <c r="E101" s="8" t="s">
        <v>702</v>
      </c>
      <c r="F101" s="8" t="s">
        <v>703</v>
      </c>
      <c r="G101" s="6" t="s">
        <v>64</v>
      </c>
      <c r="H101" s="6" t="s">
        <v>39</v>
      </c>
      <c r="I101" s="8" t="s">
        <v>283</v>
      </c>
      <c r="J101" s="9">
        <v>1</v>
      </c>
      <c r="K101" s="9">
        <v>110</v>
      </c>
      <c r="L101" s="9">
        <v>2026</v>
      </c>
      <c r="M101" s="8" t="s">
        <v>704</v>
      </c>
      <c r="N101" s="8" t="s">
        <v>41</v>
      </c>
      <c r="O101" s="8" t="s">
        <v>42</v>
      </c>
      <c r="P101" s="6" t="s">
        <v>56</v>
      </c>
      <c r="Q101" s="8" t="s">
        <v>87</v>
      </c>
      <c r="R101" s="10" t="s">
        <v>705</v>
      </c>
      <c r="S101" s="11" t="s">
        <v>706</v>
      </c>
      <c r="T101" s="6"/>
      <c r="U101" s="14" t="str">
        <f>HYPERLINK("https://media.infra-m.ru/2224/2224152/cover/2224152.jpg", "Обложка")</f>
        <v>Обложка</v>
      </c>
      <c r="V101" s="14" t="str">
        <f>HYPERLINK("https://znanium.ru/catalog/product/1926395", "Ознакомиться")</f>
        <v>Ознакомиться</v>
      </c>
      <c r="W101" s="8" t="s">
        <v>175</v>
      </c>
      <c r="X101" s="6"/>
      <c r="Y101" s="6"/>
      <c r="Z101" s="6"/>
      <c r="AA101" s="6" t="s">
        <v>707</v>
      </c>
      <c r="AB101" s="8"/>
    </row>
    <row r="102" spans="1:28" s="4" customFormat="1" ht="51.95" customHeight="1" x14ac:dyDescent="0.2">
      <c r="A102" s="5">
        <v>0</v>
      </c>
      <c r="B102" s="6" t="s">
        <v>708</v>
      </c>
      <c r="C102" s="13">
        <v>570</v>
      </c>
      <c r="D102" s="8" t="s">
        <v>709</v>
      </c>
      <c r="E102" s="8" t="s">
        <v>710</v>
      </c>
      <c r="F102" s="8" t="s">
        <v>711</v>
      </c>
      <c r="G102" s="6" t="s">
        <v>64</v>
      </c>
      <c r="H102" s="6" t="s">
        <v>350</v>
      </c>
      <c r="I102" s="8" t="s">
        <v>54</v>
      </c>
      <c r="J102" s="9">
        <v>1</v>
      </c>
      <c r="K102" s="9">
        <v>103</v>
      </c>
      <c r="L102" s="9">
        <v>2022</v>
      </c>
      <c r="M102" s="8" t="s">
        <v>712</v>
      </c>
      <c r="N102" s="8" t="s">
        <v>41</v>
      </c>
      <c r="O102" s="8" t="s">
        <v>42</v>
      </c>
      <c r="P102" s="6" t="s">
        <v>56</v>
      </c>
      <c r="Q102" s="8" t="s">
        <v>44</v>
      </c>
      <c r="R102" s="10" t="s">
        <v>705</v>
      </c>
      <c r="S102" s="11" t="s">
        <v>706</v>
      </c>
      <c r="T102" s="6" t="s">
        <v>453</v>
      </c>
      <c r="U102" s="14" t="str">
        <f>HYPERLINK("https://media.infra-m.ru/1841/1841028/cover/1841028.jpg", "Обложка")</f>
        <v>Обложка</v>
      </c>
      <c r="V102" s="14" t="str">
        <f>HYPERLINK("https://znanium.ru/catalog/product/1926395", "Ознакомиться")</f>
        <v>Ознакомиться</v>
      </c>
      <c r="W102" s="8" t="s">
        <v>175</v>
      </c>
      <c r="X102" s="6"/>
      <c r="Y102" s="6"/>
      <c r="Z102" s="6"/>
      <c r="AA102" s="6" t="s">
        <v>549</v>
      </c>
      <c r="AB102" s="8"/>
    </row>
    <row r="103" spans="1:28" s="4" customFormat="1" ht="51.95" customHeight="1" x14ac:dyDescent="0.2">
      <c r="A103" s="5">
        <v>0</v>
      </c>
      <c r="B103" s="6" t="s">
        <v>713</v>
      </c>
      <c r="C103" s="7">
        <v>1130</v>
      </c>
      <c r="D103" s="8" t="s">
        <v>714</v>
      </c>
      <c r="E103" s="8" t="s">
        <v>715</v>
      </c>
      <c r="F103" s="8" t="s">
        <v>716</v>
      </c>
      <c r="G103" s="6" t="s">
        <v>64</v>
      </c>
      <c r="H103" s="6" t="s">
        <v>39</v>
      </c>
      <c r="I103" s="8" t="s">
        <v>103</v>
      </c>
      <c r="J103" s="9">
        <v>1</v>
      </c>
      <c r="K103" s="9">
        <v>193</v>
      </c>
      <c r="L103" s="9">
        <v>2023</v>
      </c>
      <c r="M103" s="8" t="s">
        <v>717</v>
      </c>
      <c r="N103" s="8" t="s">
        <v>41</v>
      </c>
      <c r="O103" s="8" t="s">
        <v>42</v>
      </c>
      <c r="P103" s="6" t="s">
        <v>105</v>
      </c>
      <c r="Q103" s="8" t="s">
        <v>106</v>
      </c>
      <c r="R103" s="10" t="s">
        <v>718</v>
      </c>
      <c r="S103" s="11"/>
      <c r="T103" s="6"/>
      <c r="U103" s="14" t="str">
        <f>HYPERLINK("https://media.infra-m.ru/1959/1959243/cover/1959243.jpg", "Обложка")</f>
        <v>Обложка</v>
      </c>
      <c r="V103" s="14" t="str">
        <f>HYPERLINK("https://znanium.ru/catalog/product/1959243", "Ознакомиться")</f>
        <v>Ознакомиться</v>
      </c>
      <c r="W103" s="8" t="s">
        <v>719</v>
      </c>
      <c r="X103" s="6"/>
      <c r="Y103" s="6"/>
      <c r="Z103" s="6"/>
      <c r="AA103" s="6" t="s">
        <v>59</v>
      </c>
      <c r="AB103" s="8"/>
    </row>
    <row r="104" spans="1:28" s="4" customFormat="1" ht="51.95" customHeight="1" x14ac:dyDescent="0.2">
      <c r="A104" s="5">
        <v>0</v>
      </c>
      <c r="B104" s="6" t="s">
        <v>720</v>
      </c>
      <c r="C104" s="7">
        <v>1170</v>
      </c>
      <c r="D104" s="8" t="s">
        <v>721</v>
      </c>
      <c r="E104" s="8" t="s">
        <v>722</v>
      </c>
      <c r="F104" s="8" t="s">
        <v>723</v>
      </c>
      <c r="G104" s="6" t="s">
        <v>64</v>
      </c>
      <c r="H104" s="6" t="s">
        <v>39</v>
      </c>
      <c r="I104" s="8" t="s">
        <v>65</v>
      </c>
      <c r="J104" s="9">
        <v>1</v>
      </c>
      <c r="K104" s="9">
        <v>248</v>
      </c>
      <c r="L104" s="9">
        <v>2024</v>
      </c>
      <c r="M104" s="8" t="s">
        <v>724</v>
      </c>
      <c r="N104" s="8" t="s">
        <v>41</v>
      </c>
      <c r="O104" s="8" t="s">
        <v>42</v>
      </c>
      <c r="P104" s="6" t="s">
        <v>67</v>
      </c>
      <c r="Q104" s="8" t="s">
        <v>106</v>
      </c>
      <c r="R104" s="10" t="s">
        <v>725</v>
      </c>
      <c r="S104" s="11"/>
      <c r="T104" s="6"/>
      <c r="U104" s="14" t="str">
        <f>HYPERLINK("https://media.infra-m.ru/2124/2124352/cover/2124352.jpg", "Обложка")</f>
        <v>Обложка</v>
      </c>
      <c r="V104" s="14" t="str">
        <f>HYPERLINK("https://znanium.ru/catalog/product/2124352", "Ознакомиться")</f>
        <v>Ознакомиться</v>
      </c>
      <c r="W104" s="8" t="s">
        <v>726</v>
      </c>
      <c r="X104" s="6"/>
      <c r="Y104" s="6"/>
      <c r="Z104" s="6"/>
      <c r="AA104" s="6" t="s">
        <v>272</v>
      </c>
      <c r="AB104" s="8"/>
    </row>
    <row r="105" spans="1:28" s="4" customFormat="1" ht="44.1" customHeight="1" x14ac:dyDescent="0.2">
      <c r="A105" s="5">
        <v>0</v>
      </c>
      <c r="B105" s="6" t="s">
        <v>727</v>
      </c>
      <c r="C105" s="7">
        <v>1290</v>
      </c>
      <c r="D105" s="8" t="s">
        <v>728</v>
      </c>
      <c r="E105" s="8" t="s">
        <v>729</v>
      </c>
      <c r="F105" s="8" t="s">
        <v>730</v>
      </c>
      <c r="G105" s="6" t="s">
        <v>64</v>
      </c>
      <c r="H105" s="6" t="s">
        <v>39</v>
      </c>
      <c r="I105" s="8" t="s">
        <v>103</v>
      </c>
      <c r="J105" s="9">
        <v>1</v>
      </c>
      <c r="K105" s="9">
        <v>276</v>
      </c>
      <c r="L105" s="9">
        <v>2022</v>
      </c>
      <c r="M105" s="8" t="s">
        <v>731</v>
      </c>
      <c r="N105" s="8" t="s">
        <v>41</v>
      </c>
      <c r="O105" s="8" t="s">
        <v>42</v>
      </c>
      <c r="P105" s="6" t="s">
        <v>105</v>
      </c>
      <c r="Q105" s="8" t="s">
        <v>106</v>
      </c>
      <c r="R105" s="10" t="s">
        <v>732</v>
      </c>
      <c r="S105" s="11"/>
      <c r="T105" s="6"/>
      <c r="U105" s="14" t="str">
        <f>HYPERLINK("https://media.infra-m.ru/1863/1863100/cover/1863100.jpg", "Обложка")</f>
        <v>Обложка</v>
      </c>
      <c r="V105" s="14" t="str">
        <f>HYPERLINK("https://znanium.ru/catalog/product/1863100", "Ознакомиться")</f>
        <v>Ознакомиться</v>
      </c>
      <c r="W105" s="8" t="s">
        <v>733</v>
      </c>
      <c r="X105" s="6"/>
      <c r="Y105" s="6"/>
      <c r="Z105" s="6"/>
      <c r="AA105" s="6" t="s">
        <v>184</v>
      </c>
      <c r="AB105" s="8"/>
    </row>
    <row r="106" spans="1:28" s="4" customFormat="1" ht="51.95" customHeight="1" x14ac:dyDescent="0.2">
      <c r="A106" s="5">
        <v>0</v>
      </c>
      <c r="B106" s="6" t="s">
        <v>734</v>
      </c>
      <c r="C106" s="7">
        <v>1844</v>
      </c>
      <c r="D106" s="8" t="s">
        <v>735</v>
      </c>
      <c r="E106" s="8" t="s">
        <v>736</v>
      </c>
      <c r="F106" s="8" t="s">
        <v>737</v>
      </c>
      <c r="G106" s="6" t="s">
        <v>38</v>
      </c>
      <c r="H106" s="6" t="s">
        <v>39</v>
      </c>
      <c r="I106" s="8" t="s">
        <v>139</v>
      </c>
      <c r="J106" s="9">
        <v>1</v>
      </c>
      <c r="K106" s="9">
        <v>368</v>
      </c>
      <c r="L106" s="9">
        <v>2025</v>
      </c>
      <c r="M106" s="8" t="s">
        <v>738</v>
      </c>
      <c r="N106" s="8" t="s">
        <v>41</v>
      </c>
      <c r="O106" s="8" t="s">
        <v>42</v>
      </c>
      <c r="P106" s="6" t="s">
        <v>131</v>
      </c>
      <c r="Q106" s="8" t="s">
        <v>141</v>
      </c>
      <c r="R106" s="10" t="s">
        <v>739</v>
      </c>
      <c r="S106" s="11" t="s">
        <v>740</v>
      </c>
      <c r="T106" s="6"/>
      <c r="U106" s="14" t="str">
        <f>HYPERLINK("https://media.infra-m.ru/2189/2189100/cover/2189100.jpg", "Обложка")</f>
        <v>Обложка</v>
      </c>
      <c r="V106" s="14" t="str">
        <f>HYPERLINK("https://znanium.ru/catalog/product/1872513", "Ознакомиться")</f>
        <v>Ознакомиться</v>
      </c>
      <c r="W106" s="8" t="s">
        <v>741</v>
      </c>
      <c r="X106" s="6"/>
      <c r="Y106" s="6"/>
      <c r="Z106" s="6" t="s">
        <v>144</v>
      </c>
      <c r="AA106" s="6" t="s">
        <v>742</v>
      </c>
      <c r="AB106" s="8"/>
    </row>
    <row r="107" spans="1:28" s="4" customFormat="1" ht="51.95" customHeight="1" x14ac:dyDescent="0.2">
      <c r="A107" s="5">
        <v>0</v>
      </c>
      <c r="B107" s="6" t="s">
        <v>743</v>
      </c>
      <c r="C107" s="7">
        <v>1724</v>
      </c>
      <c r="D107" s="8" t="s">
        <v>744</v>
      </c>
      <c r="E107" s="8" t="s">
        <v>736</v>
      </c>
      <c r="F107" s="8" t="s">
        <v>737</v>
      </c>
      <c r="G107" s="6" t="s">
        <v>53</v>
      </c>
      <c r="H107" s="6" t="s">
        <v>39</v>
      </c>
      <c r="I107" s="8" t="s">
        <v>661</v>
      </c>
      <c r="J107" s="9">
        <v>1</v>
      </c>
      <c r="K107" s="9">
        <v>368</v>
      </c>
      <c r="L107" s="9">
        <v>2024</v>
      </c>
      <c r="M107" s="8" t="s">
        <v>745</v>
      </c>
      <c r="N107" s="8" t="s">
        <v>41</v>
      </c>
      <c r="O107" s="8" t="s">
        <v>42</v>
      </c>
      <c r="P107" s="6" t="s">
        <v>131</v>
      </c>
      <c r="Q107" s="8" t="s">
        <v>121</v>
      </c>
      <c r="R107" s="10" t="s">
        <v>746</v>
      </c>
      <c r="S107" s="11" t="s">
        <v>747</v>
      </c>
      <c r="T107" s="6"/>
      <c r="U107" s="14" t="str">
        <f>HYPERLINK("https://media.infra-m.ru/2137/2137654/cover/2137654.jpg", "Обложка")</f>
        <v>Обложка</v>
      </c>
      <c r="V107" s="14" t="str">
        <f>HYPERLINK("https://znanium.ru/catalog/product/1439619", "Ознакомиться")</f>
        <v>Ознакомиться</v>
      </c>
      <c r="W107" s="8" t="s">
        <v>741</v>
      </c>
      <c r="X107" s="6"/>
      <c r="Y107" s="6"/>
      <c r="Z107" s="6"/>
      <c r="AA107" s="6" t="s">
        <v>748</v>
      </c>
      <c r="AB107" s="8"/>
    </row>
    <row r="108" spans="1:28" s="4" customFormat="1" ht="51.95" customHeight="1" x14ac:dyDescent="0.2">
      <c r="A108" s="5">
        <v>0</v>
      </c>
      <c r="B108" s="6" t="s">
        <v>749</v>
      </c>
      <c r="C108" s="7">
        <v>1290</v>
      </c>
      <c r="D108" s="8" t="s">
        <v>750</v>
      </c>
      <c r="E108" s="8" t="s">
        <v>751</v>
      </c>
      <c r="F108" s="8" t="s">
        <v>737</v>
      </c>
      <c r="G108" s="6" t="s">
        <v>53</v>
      </c>
      <c r="H108" s="6" t="s">
        <v>39</v>
      </c>
      <c r="I108" s="8" t="s">
        <v>661</v>
      </c>
      <c r="J108" s="9">
        <v>1</v>
      </c>
      <c r="K108" s="9">
        <v>357</v>
      </c>
      <c r="L108" s="9">
        <v>2021</v>
      </c>
      <c r="M108" s="8" t="s">
        <v>752</v>
      </c>
      <c r="N108" s="8" t="s">
        <v>41</v>
      </c>
      <c r="O108" s="8" t="s">
        <v>42</v>
      </c>
      <c r="P108" s="6" t="s">
        <v>131</v>
      </c>
      <c r="Q108" s="8" t="s">
        <v>121</v>
      </c>
      <c r="R108" s="10" t="s">
        <v>746</v>
      </c>
      <c r="S108" s="11" t="s">
        <v>740</v>
      </c>
      <c r="T108" s="6"/>
      <c r="U108" s="14" t="str">
        <f>HYPERLINK("https://media.infra-m.ru/1254/1254670/cover/1254670.jpg", "Обложка")</f>
        <v>Обложка</v>
      </c>
      <c r="V108" s="14" t="str">
        <f>HYPERLINK("https://znanium.ru/catalog/product/1439619", "Ознакомиться")</f>
        <v>Ознакомиться</v>
      </c>
      <c r="W108" s="8" t="s">
        <v>741</v>
      </c>
      <c r="X108" s="6"/>
      <c r="Y108" s="6"/>
      <c r="Z108" s="6"/>
      <c r="AA108" s="6" t="s">
        <v>330</v>
      </c>
      <c r="AB108" s="8"/>
    </row>
    <row r="109" spans="1:28" s="4" customFormat="1" ht="51.95" customHeight="1" x14ac:dyDescent="0.2">
      <c r="A109" s="5">
        <v>0</v>
      </c>
      <c r="B109" s="6" t="s">
        <v>753</v>
      </c>
      <c r="C109" s="7">
        <v>1290</v>
      </c>
      <c r="D109" s="8" t="s">
        <v>754</v>
      </c>
      <c r="E109" s="8" t="s">
        <v>751</v>
      </c>
      <c r="F109" s="8" t="s">
        <v>737</v>
      </c>
      <c r="G109" s="6" t="s">
        <v>38</v>
      </c>
      <c r="H109" s="6" t="s">
        <v>39</v>
      </c>
      <c r="I109" s="8" t="s">
        <v>139</v>
      </c>
      <c r="J109" s="9">
        <v>1</v>
      </c>
      <c r="K109" s="9">
        <v>357</v>
      </c>
      <c r="L109" s="9">
        <v>2021</v>
      </c>
      <c r="M109" s="8" t="s">
        <v>755</v>
      </c>
      <c r="N109" s="8" t="s">
        <v>41</v>
      </c>
      <c r="O109" s="8" t="s">
        <v>42</v>
      </c>
      <c r="P109" s="6" t="s">
        <v>131</v>
      </c>
      <c r="Q109" s="8" t="s">
        <v>141</v>
      </c>
      <c r="R109" s="10" t="s">
        <v>739</v>
      </c>
      <c r="S109" s="11" t="s">
        <v>740</v>
      </c>
      <c r="T109" s="6"/>
      <c r="U109" s="14" t="str">
        <f>HYPERLINK("https://media.infra-m.ru/1149/1149111/cover/1149111.jpg", "Обложка")</f>
        <v>Обложка</v>
      </c>
      <c r="V109" s="14" t="str">
        <f>HYPERLINK("https://znanium.ru/catalog/product/1872513", "Ознакомиться")</f>
        <v>Ознакомиться</v>
      </c>
      <c r="W109" s="8" t="s">
        <v>741</v>
      </c>
      <c r="X109" s="6"/>
      <c r="Y109" s="6"/>
      <c r="Z109" s="6" t="s">
        <v>144</v>
      </c>
      <c r="AA109" s="6" t="s">
        <v>405</v>
      </c>
      <c r="AB109" s="8"/>
    </row>
    <row r="110" spans="1:28" s="4" customFormat="1" ht="51.95" customHeight="1" x14ac:dyDescent="0.2">
      <c r="A110" s="5">
        <v>0</v>
      </c>
      <c r="B110" s="6" t="s">
        <v>756</v>
      </c>
      <c r="C110" s="7">
        <v>1990</v>
      </c>
      <c r="D110" s="8" t="s">
        <v>757</v>
      </c>
      <c r="E110" s="8" t="s">
        <v>758</v>
      </c>
      <c r="F110" s="8" t="s">
        <v>759</v>
      </c>
      <c r="G110" s="6" t="s">
        <v>53</v>
      </c>
      <c r="H110" s="6" t="s">
        <v>39</v>
      </c>
      <c r="I110" s="8" t="s">
        <v>54</v>
      </c>
      <c r="J110" s="9">
        <v>1</v>
      </c>
      <c r="K110" s="9">
        <v>365</v>
      </c>
      <c r="L110" s="9">
        <v>2026</v>
      </c>
      <c r="M110" s="8" t="s">
        <v>760</v>
      </c>
      <c r="N110" s="8" t="s">
        <v>41</v>
      </c>
      <c r="O110" s="8" t="s">
        <v>42</v>
      </c>
      <c r="P110" s="6" t="s">
        <v>131</v>
      </c>
      <c r="Q110" s="8" t="s">
        <v>121</v>
      </c>
      <c r="R110" s="10" t="s">
        <v>761</v>
      </c>
      <c r="S110" s="11" t="s">
        <v>762</v>
      </c>
      <c r="T110" s="6" t="s">
        <v>453</v>
      </c>
      <c r="U110" s="14" t="str">
        <f>HYPERLINK("https://media.infra-m.ru/2226/2226830/cover/2226830.jpg", "Обложка")</f>
        <v>Обложка</v>
      </c>
      <c r="V110" s="14" t="str">
        <f>HYPERLINK("https://znanium.ru/catalog/product/2226830", "Ознакомиться")</f>
        <v>Ознакомиться</v>
      </c>
      <c r="W110" s="8" t="s">
        <v>741</v>
      </c>
      <c r="X110" s="6"/>
      <c r="Y110" s="6"/>
      <c r="Z110" s="6"/>
      <c r="AA110" s="6" t="s">
        <v>115</v>
      </c>
      <c r="AB110" s="8"/>
    </row>
    <row r="111" spans="1:28" s="4" customFormat="1" ht="51.95" customHeight="1" x14ac:dyDescent="0.2">
      <c r="A111" s="5">
        <v>0</v>
      </c>
      <c r="B111" s="6" t="s">
        <v>763</v>
      </c>
      <c r="C111" s="7">
        <v>1260</v>
      </c>
      <c r="D111" s="8" t="s">
        <v>764</v>
      </c>
      <c r="E111" s="8" t="s">
        <v>765</v>
      </c>
      <c r="F111" s="8" t="s">
        <v>766</v>
      </c>
      <c r="G111" s="6" t="s">
        <v>38</v>
      </c>
      <c r="H111" s="6" t="s">
        <v>39</v>
      </c>
      <c r="I111" s="8" t="s">
        <v>661</v>
      </c>
      <c r="J111" s="9">
        <v>1</v>
      </c>
      <c r="K111" s="9">
        <v>338</v>
      </c>
      <c r="L111" s="9">
        <v>2021</v>
      </c>
      <c r="M111" s="8" t="s">
        <v>767</v>
      </c>
      <c r="N111" s="8" t="s">
        <v>41</v>
      </c>
      <c r="O111" s="8" t="s">
        <v>42</v>
      </c>
      <c r="P111" s="6" t="s">
        <v>56</v>
      </c>
      <c r="Q111" s="8" t="s">
        <v>121</v>
      </c>
      <c r="R111" s="10" t="s">
        <v>768</v>
      </c>
      <c r="S111" s="11" t="s">
        <v>769</v>
      </c>
      <c r="T111" s="6"/>
      <c r="U111" s="14" t="str">
        <f>HYPERLINK("https://media.infra-m.ru/1072/1072201/cover/1072201.jpg", "Обложка")</f>
        <v>Обложка</v>
      </c>
      <c r="V111" s="14" t="str">
        <f>HYPERLINK("https://znanium.ru/catalog/product/1072201", "Ознакомиться")</f>
        <v>Ознакомиться</v>
      </c>
      <c r="W111" s="8" t="s">
        <v>770</v>
      </c>
      <c r="X111" s="6"/>
      <c r="Y111" s="6"/>
      <c r="Z111" s="6"/>
      <c r="AA111" s="6" t="s">
        <v>405</v>
      </c>
      <c r="AB111" s="8"/>
    </row>
    <row r="112" spans="1:28" s="4" customFormat="1" ht="51.95" customHeight="1" x14ac:dyDescent="0.2">
      <c r="A112" s="5">
        <v>0</v>
      </c>
      <c r="B112" s="6" t="s">
        <v>771</v>
      </c>
      <c r="C112" s="7">
        <v>2144</v>
      </c>
      <c r="D112" s="8" t="s">
        <v>772</v>
      </c>
      <c r="E112" s="8" t="s">
        <v>765</v>
      </c>
      <c r="F112" s="8" t="s">
        <v>773</v>
      </c>
      <c r="G112" s="6" t="s">
        <v>38</v>
      </c>
      <c r="H112" s="6" t="s">
        <v>39</v>
      </c>
      <c r="I112" s="8" t="s">
        <v>283</v>
      </c>
      <c r="J112" s="9">
        <v>1</v>
      </c>
      <c r="K112" s="9">
        <v>411</v>
      </c>
      <c r="L112" s="9">
        <v>2026</v>
      </c>
      <c r="M112" s="8" t="s">
        <v>774</v>
      </c>
      <c r="N112" s="8" t="s">
        <v>41</v>
      </c>
      <c r="O112" s="8" t="s">
        <v>42</v>
      </c>
      <c r="P112" s="6" t="s">
        <v>56</v>
      </c>
      <c r="Q112" s="8" t="s">
        <v>87</v>
      </c>
      <c r="R112" s="10" t="s">
        <v>775</v>
      </c>
      <c r="S112" s="11" t="s">
        <v>776</v>
      </c>
      <c r="T112" s="6"/>
      <c r="U112" s="14" t="str">
        <f>HYPERLINK("https://media.infra-m.ru/2215/2215965/cover/2215965.jpg", "Обложка")</f>
        <v>Обложка</v>
      </c>
      <c r="V112" s="14" t="str">
        <f>HYPERLINK("https://znanium.ru/catalog/product/1897677", "Ознакомиться")</f>
        <v>Ознакомиться</v>
      </c>
      <c r="W112" s="8" t="s">
        <v>777</v>
      </c>
      <c r="X112" s="6"/>
      <c r="Y112" s="6"/>
      <c r="Z112" s="6"/>
      <c r="AA112" s="6" t="s">
        <v>330</v>
      </c>
      <c r="AB112" s="8"/>
    </row>
    <row r="113" spans="1:28" s="4" customFormat="1" ht="51.95" customHeight="1" x14ac:dyDescent="0.2">
      <c r="A113" s="5">
        <v>0</v>
      </c>
      <c r="B113" s="6" t="s">
        <v>778</v>
      </c>
      <c r="C113" s="7">
        <v>3392</v>
      </c>
      <c r="D113" s="8" t="s">
        <v>779</v>
      </c>
      <c r="E113" s="8" t="s">
        <v>780</v>
      </c>
      <c r="F113" s="8" t="s">
        <v>781</v>
      </c>
      <c r="G113" s="6" t="s">
        <v>38</v>
      </c>
      <c r="H113" s="6" t="s">
        <v>39</v>
      </c>
      <c r="I113" s="8" t="s">
        <v>782</v>
      </c>
      <c r="J113" s="9">
        <v>1</v>
      </c>
      <c r="K113" s="9">
        <v>607</v>
      </c>
      <c r="L113" s="9">
        <v>2025</v>
      </c>
      <c r="M113" s="8" t="s">
        <v>783</v>
      </c>
      <c r="N113" s="8" t="s">
        <v>41</v>
      </c>
      <c r="O113" s="8" t="s">
        <v>42</v>
      </c>
      <c r="P113" s="6" t="s">
        <v>784</v>
      </c>
      <c r="Q113" s="8" t="s">
        <v>106</v>
      </c>
      <c r="R113" s="10" t="s">
        <v>785</v>
      </c>
      <c r="S113" s="11"/>
      <c r="T113" s="6"/>
      <c r="U113" s="14" t="str">
        <f>HYPERLINK("https://media.infra-m.ru/2208/2208743/cover/2208743.jpg", "Обложка")</f>
        <v>Обложка</v>
      </c>
      <c r="V113" s="14" t="str">
        <f>HYPERLINK("https://znanium.ru/catalog/product/2208743", "Ознакомиться")</f>
        <v>Ознакомиться</v>
      </c>
      <c r="W113" s="8" t="s">
        <v>786</v>
      </c>
      <c r="X113" s="6"/>
      <c r="Y113" s="6"/>
      <c r="Z113" s="6"/>
      <c r="AA113" s="6" t="s">
        <v>787</v>
      </c>
      <c r="AB113" s="8"/>
    </row>
    <row r="114" spans="1:28" s="4" customFormat="1" ht="51.95" customHeight="1" x14ac:dyDescent="0.2">
      <c r="A114" s="5">
        <v>0</v>
      </c>
      <c r="B114" s="6" t="s">
        <v>788</v>
      </c>
      <c r="C114" s="7">
        <v>2094.9</v>
      </c>
      <c r="D114" s="8" t="s">
        <v>789</v>
      </c>
      <c r="E114" s="8" t="s">
        <v>790</v>
      </c>
      <c r="F114" s="8" t="s">
        <v>791</v>
      </c>
      <c r="G114" s="6" t="s">
        <v>38</v>
      </c>
      <c r="H114" s="6" t="s">
        <v>350</v>
      </c>
      <c r="I114" s="8" t="s">
        <v>54</v>
      </c>
      <c r="J114" s="9">
        <v>1</v>
      </c>
      <c r="K114" s="9">
        <v>608</v>
      </c>
      <c r="L114" s="9">
        <v>2020</v>
      </c>
      <c r="M114" s="8" t="s">
        <v>792</v>
      </c>
      <c r="N114" s="8" t="s">
        <v>41</v>
      </c>
      <c r="O114" s="8" t="s">
        <v>42</v>
      </c>
      <c r="P114" s="6" t="s">
        <v>561</v>
      </c>
      <c r="Q114" s="8" t="s">
        <v>106</v>
      </c>
      <c r="R114" s="10" t="s">
        <v>785</v>
      </c>
      <c r="S114" s="11"/>
      <c r="T114" s="6"/>
      <c r="U114" s="14" t="str">
        <f>HYPERLINK("https://media.infra-m.ru/1052/1052196/cover/1052196.jpg", "Обложка")</f>
        <v>Обложка</v>
      </c>
      <c r="V114" s="14" t="str">
        <f>HYPERLINK("https://znanium.ru/catalog/product/2208743", "Ознакомиться")</f>
        <v>Ознакомиться</v>
      </c>
      <c r="W114" s="8" t="s">
        <v>786</v>
      </c>
      <c r="X114" s="6"/>
      <c r="Y114" s="6"/>
      <c r="Z114" s="6"/>
      <c r="AA114" s="6" t="s">
        <v>135</v>
      </c>
      <c r="AB114" s="8"/>
    </row>
    <row r="115" spans="1:28" s="4" customFormat="1" ht="51.95" customHeight="1" x14ac:dyDescent="0.2">
      <c r="A115" s="5">
        <v>0</v>
      </c>
      <c r="B115" s="6" t="s">
        <v>793</v>
      </c>
      <c r="C115" s="7">
        <v>1540</v>
      </c>
      <c r="D115" s="8" t="s">
        <v>794</v>
      </c>
      <c r="E115" s="8" t="s">
        <v>795</v>
      </c>
      <c r="F115" s="8" t="s">
        <v>796</v>
      </c>
      <c r="G115" s="6" t="s">
        <v>53</v>
      </c>
      <c r="H115" s="6" t="s">
        <v>39</v>
      </c>
      <c r="I115" s="8" t="s">
        <v>661</v>
      </c>
      <c r="J115" s="9">
        <v>1</v>
      </c>
      <c r="K115" s="9">
        <v>334</v>
      </c>
      <c r="L115" s="9">
        <v>2023</v>
      </c>
      <c r="M115" s="8" t="s">
        <v>797</v>
      </c>
      <c r="N115" s="8" t="s">
        <v>41</v>
      </c>
      <c r="O115" s="8" t="s">
        <v>42</v>
      </c>
      <c r="P115" s="6" t="s">
        <v>56</v>
      </c>
      <c r="Q115" s="8" t="s">
        <v>121</v>
      </c>
      <c r="R115" s="10" t="s">
        <v>798</v>
      </c>
      <c r="S115" s="11" t="s">
        <v>374</v>
      </c>
      <c r="T115" s="6"/>
      <c r="U115" s="14" t="str">
        <f>HYPERLINK("https://media.infra-m.ru/2125/2125010/cover/2125010.jpg", "Обложка")</f>
        <v>Обложка</v>
      </c>
      <c r="V115" s="14" t="str">
        <f>HYPERLINK("https://znanium.ru/catalog/product/2125010", "Ознакомиться")</f>
        <v>Ознакомиться</v>
      </c>
      <c r="W115" s="8" t="s">
        <v>375</v>
      </c>
      <c r="X115" s="6"/>
      <c r="Y115" s="6"/>
      <c r="Z115" s="6"/>
      <c r="AA115" s="6" t="s">
        <v>125</v>
      </c>
      <c r="AB115" s="8"/>
    </row>
    <row r="116" spans="1:28" s="4" customFormat="1" ht="44.1" customHeight="1" x14ac:dyDescent="0.2">
      <c r="A116" s="5">
        <v>0</v>
      </c>
      <c r="B116" s="6" t="s">
        <v>799</v>
      </c>
      <c r="C116" s="7">
        <v>1174</v>
      </c>
      <c r="D116" s="8" t="s">
        <v>800</v>
      </c>
      <c r="E116" s="8" t="s">
        <v>801</v>
      </c>
      <c r="F116" s="8" t="s">
        <v>802</v>
      </c>
      <c r="G116" s="6" t="s">
        <v>64</v>
      </c>
      <c r="H116" s="6" t="s">
        <v>39</v>
      </c>
      <c r="I116" s="8" t="s">
        <v>103</v>
      </c>
      <c r="J116" s="9">
        <v>1</v>
      </c>
      <c r="K116" s="9">
        <v>213</v>
      </c>
      <c r="L116" s="9">
        <v>2026</v>
      </c>
      <c r="M116" s="8" t="s">
        <v>803</v>
      </c>
      <c r="N116" s="8" t="s">
        <v>41</v>
      </c>
      <c r="O116" s="8" t="s">
        <v>42</v>
      </c>
      <c r="P116" s="6" t="s">
        <v>105</v>
      </c>
      <c r="Q116" s="8" t="s">
        <v>106</v>
      </c>
      <c r="R116" s="10" t="s">
        <v>804</v>
      </c>
      <c r="S116" s="11"/>
      <c r="T116" s="6"/>
      <c r="U116" s="14" t="str">
        <f>HYPERLINK("https://media.infra-m.ru/2179/2179395/cover/2179395.jpg", "Обложка")</f>
        <v>Обложка</v>
      </c>
      <c r="V116" s="14" t="str">
        <f>HYPERLINK("https://znanium.ru/catalog/product/1873042", "Ознакомиться")</f>
        <v>Ознакомиться</v>
      </c>
      <c r="W116" s="8" t="s">
        <v>58</v>
      </c>
      <c r="X116" s="6"/>
      <c r="Y116" s="6"/>
      <c r="Z116" s="6"/>
      <c r="AA116" s="6" t="s">
        <v>184</v>
      </c>
      <c r="AB116" s="8"/>
    </row>
    <row r="117" spans="1:28" s="4" customFormat="1" ht="51.95" customHeight="1" x14ac:dyDescent="0.2">
      <c r="A117" s="5">
        <v>0</v>
      </c>
      <c r="B117" s="6" t="s">
        <v>805</v>
      </c>
      <c r="C117" s="7">
        <v>1890</v>
      </c>
      <c r="D117" s="8" t="s">
        <v>806</v>
      </c>
      <c r="E117" s="8" t="s">
        <v>807</v>
      </c>
      <c r="F117" s="8" t="s">
        <v>808</v>
      </c>
      <c r="G117" s="6" t="s">
        <v>53</v>
      </c>
      <c r="H117" s="6" t="s">
        <v>39</v>
      </c>
      <c r="I117" s="8" t="s">
        <v>54</v>
      </c>
      <c r="J117" s="9">
        <v>1</v>
      </c>
      <c r="K117" s="9">
        <v>342</v>
      </c>
      <c r="L117" s="9">
        <v>2026</v>
      </c>
      <c r="M117" s="8" t="s">
        <v>809</v>
      </c>
      <c r="N117" s="8" t="s">
        <v>41</v>
      </c>
      <c r="O117" s="8" t="s">
        <v>42</v>
      </c>
      <c r="P117" s="6" t="s">
        <v>56</v>
      </c>
      <c r="Q117" s="8" t="s">
        <v>87</v>
      </c>
      <c r="R117" s="10" t="s">
        <v>198</v>
      </c>
      <c r="S117" s="11" t="s">
        <v>810</v>
      </c>
      <c r="T117" s="6"/>
      <c r="U117" s="14" t="str">
        <f>HYPERLINK("https://media.infra-m.ru/2231/2231633/cover/2231633.jpg", "Обложка")</f>
        <v>Обложка</v>
      </c>
      <c r="V117" s="14" t="str">
        <f>HYPERLINK("https://znanium.ru/catalog/product/2231633", "Ознакомиться")</f>
        <v>Ознакомиться</v>
      </c>
      <c r="W117" s="8" t="s">
        <v>811</v>
      </c>
      <c r="X117" s="6"/>
      <c r="Y117" s="6"/>
      <c r="Z117" s="6"/>
      <c r="AA117" s="6" t="s">
        <v>184</v>
      </c>
      <c r="AB117" s="8"/>
    </row>
    <row r="118" spans="1:28" s="4" customFormat="1" ht="51.95" customHeight="1" x14ac:dyDescent="0.2">
      <c r="A118" s="5">
        <v>0</v>
      </c>
      <c r="B118" s="6" t="s">
        <v>812</v>
      </c>
      <c r="C118" s="7">
        <v>1494</v>
      </c>
      <c r="D118" s="8" t="s">
        <v>813</v>
      </c>
      <c r="E118" s="8" t="s">
        <v>814</v>
      </c>
      <c r="F118" s="8" t="s">
        <v>737</v>
      </c>
      <c r="G118" s="6" t="s">
        <v>38</v>
      </c>
      <c r="H118" s="6" t="s">
        <v>39</v>
      </c>
      <c r="I118" s="8" t="s">
        <v>283</v>
      </c>
      <c r="J118" s="9">
        <v>1</v>
      </c>
      <c r="K118" s="9">
        <v>298</v>
      </c>
      <c r="L118" s="9">
        <v>2024</v>
      </c>
      <c r="M118" s="8" t="s">
        <v>815</v>
      </c>
      <c r="N118" s="8" t="s">
        <v>41</v>
      </c>
      <c r="O118" s="8" t="s">
        <v>42</v>
      </c>
      <c r="P118" s="6" t="s">
        <v>131</v>
      </c>
      <c r="Q118" s="8" t="s">
        <v>87</v>
      </c>
      <c r="R118" s="10" t="s">
        <v>816</v>
      </c>
      <c r="S118" s="11" t="s">
        <v>762</v>
      </c>
      <c r="T118" s="6"/>
      <c r="U118" s="14" t="str">
        <f>HYPERLINK("https://media.infra-m.ru/2167/2167303/cover/2167303.jpg", "Обложка")</f>
        <v>Обложка</v>
      </c>
      <c r="V118" s="14" t="str">
        <f>HYPERLINK("https://znanium.ru/catalog/product/2167300", "Ознакомиться")</f>
        <v>Ознакомиться</v>
      </c>
      <c r="W118" s="8" t="s">
        <v>741</v>
      </c>
      <c r="X118" s="6"/>
      <c r="Y118" s="6"/>
      <c r="Z118" s="6"/>
      <c r="AA118" s="6" t="s">
        <v>115</v>
      </c>
      <c r="AB118" s="8" t="s">
        <v>817</v>
      </c>
    </row>
    <row r="119" spans="1:28" s="4" customFormat="1" ht="42" customHeight="1" x14ac:dyDescent="0.2">
      <c r="A119" s="5">
        <v>0</v>
      </c>
      <c r="B119" s="6" t="s">
        <v>818</v>
      </c>
      <c r="C119" s="7">
        <v>1280</v>
      </c>
      <c r="D119" s="8" t="s">
        <v>819</v>
      </c>
      <c r="E119" s="8" t="s">
        <v>820</v>
      </c>
      <c r="F119" s="8" t="s">
        <v>821</v>
      </c>
      <c r="G119" s="6" t="s">
        <v>53</v>
      </c>
      <c r="H119" s="6" t="s">
        <v>39</v>
      </c>
      <c r="I119" s="8" t="s">
        <v>54</v>
      </c>
      <c r="J119" s="9">
        <v>1</v>
      </c>
      <c r="K119" s="9">
        <v>231</v>
      </c>
      <c r="L119" s="9">
        <v>2026</v>
      </c>
      <c r="M119" s="8" t="s">
        <v>822</v>
      </c>
      <c r="N119" s="8" t="s">
        <v>41</v>
      </c>
      <c r="O119" s="8" t="s">
        <v>42</v>
      </c>
      <c r="P119" s="6" t="s">
        <v>131</v>
      </c>
      <c r="Q119" s="8" t="s">
        <v>121</v>
      </c>
      <c r="R119" s="10" t="s">
        <v>823</v>
      </c>
      <c r="S119" s="11"/>
      <c r="T119" s="6"/>
      <c r="U119" s="14" t="str">
        <f>HYPERLINK("https://media.infra-m.ru/2231/2231627/cover/2231627.jpg", "Обложка")</f>
        <v>Обложка</v>
      </c>
      <c r="V119" s="14" t="str">
        <f>HYPERLINK("https://znanium.ru/catalog/product/2231627", "Ознакомиться")</f>
        <v>Ознакомиться</v>
      </c>
      <c r="W119" s="8" t="s">
        <v>824</v>
      </c>
      <c r="X119" s="6"/>
      <c r="Y119" s="6"/>
      <c r="Z119" s="6"/>
      <c r="AA119" s="6" t="s">
        <v>59</v>
      </c>
      <c r="AB119" s="8" t="s">
        <v>825</v>
      </c>
    </row>
    <row r="120" spans="1:28" s="4" customFormat="1" ht="51.95" customHeight="1" x14ac:dyDescent="0.2">
      <c r="A120" s="5">
        <v>0</v>
      </c>
      <c r="B120" s="6" t="s">
        <v>826</v>
      </c>
      <c r="C120" s="13">
        <v>794.9</v>
      </c>
      <c r="D120" s="8" t="s">
        <v>827</v>
      </c>
      <c r="E120" s="8" t="s">
        <v>820</v>
      </c>
      <c r="F120" s="8" t="s">
        <v>828</v>
      </c>
      <c r="G120" s="6" t="s">
        <v>64</v>
      </c>
      <c r="H120" s="6" t="s">
        <v>39</v>
      </c>
      <c r="I120" s="8" t="s">
        <v>54</v>
      </c>
      <c r="J120" s="9">
        <v>1</v>
      </c>
      <c r="K120" s="9">
        <v>176</v>
      </c>
      <c r="L120" s="9">
        <v>2023</v>
      </c>
      <c r="M120" s="8" t="s">
        <v>829</v>
      </c>
      <c r="N120" s="8" t="s">
        <v>41</v>
      </c>
      <c r="O120" s="8" t="s">
        <v>42</v>
      </c>
      <c r="P120" s="6" t="s">
        <v>56</v>
      </c>
      <c r="Q120" s="8" t="s">
        <v>68</v>
      </c>
      <c r="R120" s="10" t="s">
        <v>830</v>
      </c>
      <c r="S120" s="11" t="s">
        <v>831</v>
      </c>
      <c r="T120" s="6"/>
      <c r="U120" s="14" t="str">
        <f>HYPERLINK("https://media.infra-m.ru/2019/2019749/cover/2019749.jpg", "Обложка")</f>
        <v>Обложка</v>
      </c>
      <c r="V120" s="14" t="str">
        <f>HYPERLINK("https://znanium.ru/catalog/product/2019749", "Ознакомиться")</f>
        <v>Ознакомиться</v>
      </c>
      <c r="W120" s="8" t="s">
        <v>832</v>
      </c>
      <c r="X120" s="6"/>
      <c r="Y120" s="6"/>
      <c r="Z120" s="6"/>
      <c r="AA120" s="6" t="s">
        <v>272</v>
      </c>
      <c r="AB120" s="8"/>
    </row>
    <row r="121" spans="1:28" s="4" customFormat="1" ht="51.95" customHeight="1" x14ac:dyDescent="0.2">
      <c r="A121" s="5">
        <v>0</v>
      </c>
      <c r="B121" s="6" t="s">
        <v>833</v>
      </c>
      <c r="C121" s="7">
        <v>2339</v>
      </c>
      <c r="D121" s="8" t="s">
        <v>834</v>
      </c>
      <c r="E121" s="8" t="s">
        <v>835</v>
      </c>
      <c r="F121" s="8" t="s">
        <v>836</v>
      </c>
      <c r="G121" s="6" t="s">
        <v>53</v>
      </c>
      <c r="H121" s="6" t="s">
        <v>39</v>
      </c>
      <c r="I121" s="8" t="s">
        <v>283</v>
      </c>
      <c r="J121" s="9">
        <v>1</v>
      </c>
      <c r="K121" s="9">
        <v>218</v>
      </c>
      <c r="L121" s="9">
        <v>2023</v>
      </c>
      <c r="M121" s="8" t="s">
        <v>837</v>
      </c>
      <c r="N121" s="8" t="s">
        <v>41</v>
      </c>
      <c r="O121" s="8" t="s">
        <v>42</v>
      </c>
      <c r="P121" s="6" t="s">
        <v>56</v>
      </c>
      <c r="Q121" s="8" t="s">
        <v>87</v>
      </c>
      <c r="R121" s="10" t="s">
        <v>775</v>
      </c>
      <c r="S121" s="11" t="s">
        <v>838</v>
      </c>
      <c r="T121" s="6"/>
      <c r="U121" s="14" t="str">
        <f>HYPERLINK("https://media.infra-m.ru/2125/2125009/cover/2125009.jpg", "Обложка")</f>
        <v>Обложка</v>
      </c>
      <c r="V121" s="14" t="str">
        <f>HYPERLINK("https://znanium.ru/catalog/product/2125009", "Ознакомиться")</f>
        <v>Ознакомиться</v>
      </c>
      <c r="W121" s="8" t="s">
        <v>361</v>
      </c>
      <c r="X121" s="6"/>
      <c r="Y121" s="6"/>
      <c r="Z121" s="6"/>
      <c r="AA121" s="6" t="s">
        <v>115</v>
      </c>
      <c r="AB121" s="8"/>
    </row>
    <row r="122" spans="1:28" s="4" customFormat="1" ht="51.95" customHeight="1" x14ac:dyDescent="0.2">
      <c r="A122" s="5">
        <v>0</v>
      </c>
      <c r="B122" s="6" t="s">
        <v>839</v>
      </c>
      <c r="C122" s="7">
        <v>1620</v>
      </c>
      <c r="D122" s="8" t="s">
        <v>840</v>
      </c>
      <c r="E122" s="8" t="s">
        <v>841</v>
      </c>
      <c r="F122" s="8" t="s">
        <v>545</v>
      </c>
      <c r="G122" s="6" t="s">
        <v>64</v>
      </c>
      <c r="H122" s="6" t="s">
        <v>39</v>
      </c>
      <c r="I122" s="8" t="s">
        <v>103</v>
      </c>
      <c r="J122" s="9">
        <v>1</v>
      </c>
      <c r="K122" s="9">
        <v>310</v>
      </c>
      <c r="L122" s="9">
        <v>2025</v>
      </c>
      <c r="M122" s="8" t="s">
        <v>842</v>
      </c>
      <c r="N122" s="8" t="s">
        <v>41</v>
      </c>
      <c r="O122" s="8" t="s">
        <v>42</v>
      </c>
      <c r="P122" s="6" t="s">
        <v>105</v>
      </c>
      <c r="Q122" s="8" t="s">
        <v>106</v>
      </c>
      <c r="R122" s="10" t="s">
        <v>97</v>
      </c>
      <c r="S122" s="11"/>
      <c r="T122" s="6"/>
      <c r="U122" s="14" t="str">
        <f>HYPERLINK("https://media.infra-m.ru/2208/2208742/cover/2208742.jpg", "Обложка")</f>
        <v>Обложка</v>
      </c>
      <c r="V122" s="14" t="str">
        <f>HYPERLINK("https://znanium.ru/catalog/product/2208742", "Ознакомиться")</f>
        <v>Ознакомиться</v>
      </c>
      <c r="W122" s="8" t="s">
        <v>454</v>
      </c>
      <c r="X122" s="6"/>
      <c r="Y122" s="6"/>
      <c r="Z122" s="6"/>
      <c r="AA122" s="6" t="s">
        <v>549</v>
      </c>
      <c r="AB122" s="8"/>
    </row>
    <row r="123" spans="1:28" s="4" customFormat="1" ht="42" customHeight="1" x14ac:dyDescent="0.2">
      <c r="A123" s="5">
        <v>0</v>
      </c>
      <c r="B123" s="6" t="s">
        <v>843</v>
      </c>
      <c r="C123" s="7">
        <v>1310</v>
      </c>
      <c r="D123" s="8" t="s">
        <v>844</v>
      </c>
      <c r="E123" s="8" t="s">
        <v>845</v>
      </c>
      <c r="F123" s="8" t="s">
        <v>846</v>
      </c>
      <c r="G123" s="6" t="s">
        <v>38</v>
      </c>
      <c r="H123" s="6" t="s">
        <v>39</v>
      </c>
      <c r="I123" s="8" t="s">
        <v>103</v>
      </c>
      <c r="J123" s="9">
        <v>1</v>
      </c>
      <c r="K123" s="9">
        <v>239</v>
      </c>
      <c r="L123" s="9">
        <v>2026</v>
      </c>
      <c r="M123" s="8" t="s">
        <v>847</v>
      </c>
      <c r="N123" s="8" t="s">
        <v>41</v>
      </c>
      <c r="O123" s="8" t="s">
        <v>42</v>
      </c>
      <c r="P123" s="6" t="s">
        <v>105</v>
      </c>
      <c r="Q123" s="8" t="s">
        <v>106</v>
      </c>
      <c r="R123" s="10" t="s">
        <v>848</v>
      </c>
      <c r="S123" s="11"/>
      <c r="T123" s="6"/>
      <c r="U123" s="14" t="str">
        <f>HYPERLINK("https://media.infra-m.ru/2193/2193753/cover/2193753.jpg", "Обложка")</f>
        <v>Обложка</v>
      </c>
      <c r="V123" s="14" t="str">
        <f>HYPERLINK("https://znanium.ru/catalog/product/2193753", "Ознакомиться")</f>
        <v>Ознакомиться</v>
      </c>
      <c r="W123" s="8" t="s">
        <v>849</v>
      </c>
      <c r="X123" s="6" t="s">
        <v>850</v>
      </c>
      <c r="Y123" s="6"/>
      <c r="Z123" s="6"/>
      <c r="AA123" s="6" t="s">
        <v>200</v>
      </c>
      <c r="AB123" s="8"/>
    </row>
    <row r="124" spans="1:28" s="4" customFormat="1" ht="42" customHeight="1" x14ac:dyDescent="0.2">
      <c r="A124" s="5">
        <v>0</v>
      </c>
      <c r="B124" s="6" t="s">
        <v>851</v>
      </c>
      <c r="C124" s="13">
        <v>550</v>
      </c>
      <c r="D124" s="8" t="s">
        <v>852</v>
      </c>
      <c r="E124" s="8" t="s">
        <v>853</v>
      </c>
      <c r="F124" s="8" t="s">
        <v>854</v>
      </c>
      <c r="G124" s="6" t="s">
        <v>64</v>
      </c>
      <c r="H124" s="6" t="s">
        <v>39</v>
      </c>
      <c r="I124" s="8" t="s">
        <v>65</v>
      </c>
      <c r="J124" s="9">
        <v>1</v>
      </c>
      <c r="K124" s="9">
        <v>107</v>
      </c>
      <c r="L124" s="9">
        <v>2024</v>
      </c>
      <c r="M124" s="8" t="s">
        <v>855</v>
      </c>
      <c r="N124" s="8" t="s">
        <v>41</v>
      </c>
      <c r="O124" s="8" t="s">
        <v>42</v>
      </c>
      <c r="P124" s="6" t="s">
        <v>105</v>
      </c>
      <c r="Q124" s="8" t="s">
        <v>106</v>
      </c>
      <c r="R124" s="10" t="s">
        <v>97</v>
      </c>
      <c r="S124" s="11"/>
      <c r="T124" s="6"/>
      <c r="U124" s="14" t="str">
        <f>HYPERLINK("https://media.infra-m.ru/2052/2052397/cover/2052397.jpg", "Обложка")</f>
        <v>Обложка</v>
      </c>
      <c r="V124" s="14" t="str">
        <f>HYPERLINK("https://znanium.ru/catalog/product/2052397", "Ознакомиться")</f>
        <v>Ознакомиться</v>
      </c>
      <c r="W124" s="8" t="s">
        <v>361</v>
      </c>
      <c r="X124" s="6"/>
      <c r="Y124" s="6"/>
      <c r="Z124" s="6"/>
      <c r="AA124" s="6" t="s">
        <v>71</v>
      </c>
      <c r="AB124" s="8"/>
    </row>
    <row r="125" spans="1:28" s="4" customFormat="1" ht="51.95" customHeight="1" x14ac:dyDescent="0.2">
      <c r="A125" s="5">
        <v>0</v>
      </c>
      <c r="B125" s="6" t="s">
        <v>856</v>
      </c>
      <c r="C125" s="13">
        <v>654</v>
      </c>
      <c r="D125" s="8" t="s">
        <v>857</v>
      </c>
      <c r="E125" s="8" t="s">
        <v>858</v>
      </c>
      <c r="F125" s="8" t="s">
        <v>859</v>
      </c>
      <c r="G125" s="6" t="s">
        <v>38</v>
      </c>
      <c r="H125" s="6" t="s">
        <v>39</v>
      </c>
      <c r="I125" s="8" t="s">
        <v>283</v>
      </c>
      <c r="J125" s="9">
        <v>1</v>
      </c>
      <c r="K125" s="9">
        <v>125</v>
      </c>
      <c r="L125" s="9">
        <v>2025</v>
      </c>
      <c r="M125" s="8" t="s">
        <v>860</v>
      </c>
      <c r="N125" s="8" t="s">
        <v>41</v>
      </c>
      <c r="O125" s="8" t="s">
        <v>42</v>
      </c>
      <c r="P125" s="6" t="s">
        <v>56</v>
      </c>
      <c r="Q125" s="8" t="s">
        <v>87</v>
      </c>
      <c r="R125" s="10" t="s">
        <v>705</v>
      </c>
      <c r="S125" s="11" t="s">
        <v>861</v>
      </c>
      <c r="T125" s="6" t="s">
        <v>453</v>
      </c>
      <c r="U125" s="14" t="str">
        <f>HYPERLINK("https://media.infra-m.ru/2198/2198147/cover/2198147.jpg", "Обложка")</f>
        <v>Обложка</v>
      </c>
      <c r="V125" s="12"/>
      <c r="W125" s="8" t="s">
        <v>862</v>
      </c>
      <c r="X125" s="6"/>
      <c r="Y125" s="6"/>
      <c r="Z125" s="6"/>
      <c r="AA125" s="6" t="s">
        <v>330</v>
      </c>
      <c r="AB125" s="8"/>
    </row>
    <row r="126" spans="1:28" s="4" customFormat="1" ht="51.95" customHeight="1" x14ac:dyDescent="0.2">
      <c r="A126" s="5">
        <v>0</v>
      </c>
      <c r="B126" s="6" t="s">
        <v>863</v>
      </c>
      <c r="C126" s="13">
        <v>874</v>
      </c>
      <c r="D126" s="8" t="s">
        <v>864</v>
      </c>
      <c r="E126" s="8" t="s">
        <v>865</v>
      </c>
      <c r="F126" s="8" t="s">
        <v>148</v>
      </c>
      <c r="G126" s="6" t="s">
        <v>64</v>
      </c>
      <c r="H126" s="6" t="s">
        <v>39</v>
      </c>
      <c r="I126" s="8" t="s">
        <v>54</v>
      </c>
      <c r="J126" s="9">
        <v>1</v>
      </c>
      <c r="K126" s="9">
        <v>158</v>
      </c>
      <c r="L126" s="9">
        <v>2026</v>
      </c>
      <c r="M126" s="8" t="s">
        <v>866</v>
      </c>
      <c r="N126" s="8" t="s">
        <v>41</v>
      </c>
      <c r="O126" s="8" t="s">
        <v>42</v>
      </c>
      <c r="P126" s="6" t="s">
        <v>56</v>
      </c>
      <c r="Q126" s="8" t="s">
        <v>44</v>
      </c>
      <c r="R126" s="10" t="s">
        <v>867</v>
      </c>
      <c r="S126" s="11" t="s">
        <v>868</v>
      </c>
      <c r="T126" s="6"/>
      <c r="U126" s="14" t="str">
        <f>HYPERLINK("https://media.infra-m.ru/2224/2224161/cover/2224161.jpg", "Обложка")</f>
        <v>Обложка</v>
      </c>
      <c r="V126" s="14" t="str">
        <f>HYPERLINK("https://znanium.ru/catalog/product/1863044", "Ознакомиться")</f>
        <v>Ознакомиться</v>
      </c>
      <c r="W126" s="8" t="s">
        <v>152</v>
      </c>
      <c r="X126" s="6"/>
      <c r="Y126" s="6"/>
      <c r="Z126" s="6"/>
      <c r="AA126" s="6" t="s">
        <v>71</v>
      </c>
      <c r="AB126" s="8"/>
    </row>
    <row r="127" spans="1:28" s="4" customFormat="1" ht="51.95" customHeight="1" x14ac:dyDescent="0.2">
      <c r="A127" s="5">
        <v>0</v>
      </c>
      <c r="B127" s="6" t="s">
        <v>869</v>
      </c>
      <c r="C127" s="13">
        <v>450</v>
      </c>
      <c r="D127" s="8" t="s">
        <v>870</v>
      </c>
      <c r="E127" s="8" t="s">
        <v>871</v>
      </c>
      <c r="F127" s="8" t="s">
        <v>872</v>
      </c>
      <c r="G127" s="6" t="s">
        <v>64</v>
      </c>
      <c r="H127" s="6" t="s">
        <v>277</v>
      </c>
      <c r="I127" s="8" t="s">
        <v>54</v>
      </c>
      <c r="J127" s="9">
        <v>1</v>
      </c>
      <c r="K127" s="9">
        <v>64</v>
      </c>
      <c r="L127" s="9">
        <v>2024</v>
      </c>
      <c r="M127" s="8" t="s">
        <v>873</v>
      </c>
      <c r="N127" s="8" t="s">
        <v>41</v>
      </c>
      <c r="O127" s="8" t="s">
        <v>42</v>
      </c>
      <c r="P127" s="6" t="s">
        <v>56</v>
      </c>
      <c r="Q127" s="8" t="s">
        <v>121</v>
      </c>
      <c r="R127" s="10" t="s">
        <v>874</v>
      </c>
      <c r="S127" s="11" t="s">
        <v>875</v>
      </c>
      <c r="T127" s="6"/>
      <c r="U127" s="14" t="str">
        <f>HYPERLINK("https://media.infra-m.ru/2083/2083338/cover/2083338.jpg", "Обложка")</f>
        <v>Обложка</v>
      </c>
      <c r="V127" s="14" t="str">
        <f>HYPERLINK("https://znanium.ru/catalog/product/2083338", "Ознакомиться")</f>
        <v>Ознакомиться</v>
      </c>
      <c r="W127" s="8" t="s">
        <v>361</v>
      </c>
      <c r="X127" s="6"/>
      <c r="Y127" s="6"/>
      <c r="Z127" s="6"/>
      <c r="AA127" s="6" t="s">
        <v>876</v>
      </c>
      <c r="AB127" s="8"/>
    </row>
    <row r="128" spans="1:28" s="4" customFormat="1" ht="51.95" customHeight="1" x14ac:dyDescent="0.2">
      <c r="A128" s="5">
        <v>0</v>
      </c>
      <c r="B128" s="6" t="s">
        <v>877</v>
      </c>
      <c r="C128" s="13">
        <v>900</v>
      </c>
      <c r="D128" s="8" t="s">
        <v>878</v>
      </c>
      <c r="E128" s="8" t="s">
        <v>879</v>
      </c>
      <c r="F128" s="8" t="s">
        <v>880</v>
      </c>
      <c r="G128" s="6" t="s">
        <v>53</v>
      </c>
      <c r="H128" s="6" t="s">
        <v>39</v>
      </c>
      <c r="I128" s="8" t="s">
        <v>54</v>
      </c>
      <c r="J128" s="9">
        <v>1</v>
      </c>
      <c r="K128" s="9">
        <v>163</v>
      </c>
      <c r="L128" s="9">
        <v>2026</v>
      </c>
      <c r="M128" s="8" t="s">
        <v>881</v>
      </c>
      <c r="N128" s="8" t="s">
        <v>41</v>
      </c>
      <c r="O128" s="8" t="s">
        <v>42</v>
      </c>
      <c r="P128" s="6" t="s">
        <v>56</v>
      </c>
      <c r="Q128" s="8" t="s">
        <v>87</v>
      </c>
      <c r="R128" s="10" t="s">
        <v>882</v>
      </c>
      <c r="S128" s="11" t="s">
        <v>883</v>
      </c>
      <c r="T128" s="6"/>
      <c r="U128" s="14" t="str">
        <f>HYPERLINK("https://media.infra-m.ru/2226/2226030/cover/2226030.jpg", "Обложка")</f>
        <v>Обложка</v>
      </c>
      <c r="V128" s="14" t="str">
        <f>HYPERLINK("https://znanium.ru/catalog/product/2226030", "Ознакомиться")</f>
        <v>Ознакомиться</v>
      </c>
      <c r="W128" s="8" t="s">
        <v>884</v>
      </c>
      <c r="X128" s="6"/>
      <c r="Y128" s="6"/>
      <c r="Z128" s="6"/>
      <c r="AA128" s="6" t="s">
        <v>885</v>
      </c>
      <c r="AB128" s="8"/>
    </row>
    <row r="129" spans="1:28" s="4" customFormat="1" ht="51.95" customHeight="1" x14ac:dyDescent="0.2">
      <c r="A129" s="5">
        <v>0</v>
      </c>
      <c r="B129" s="6" t="s">
        <v>886</v>
      </c>
      <c r="C129" s="7">
        <v>2364</v>
      </c>
      <c r="D129" s="8" t="s">
        <v>887</v>
      </c>
      <c r="E129" s="8" t="s">
        <v>888</v>
      </c>
      <c r="F129" s="8" t="s">
        <v>889</v>
      </c>
      <c r="G129" s="6" t="s">
        <v>38</v>
      </c>
      <c r="H129" s="6" t="s">
        <v>39</v>
      </c>
      <c r="I129" s="8" t="s">
        <v>54</v>
      </c>
      <c r="J129" s="9">
        <v>1</v>
      </c>
      <c r="K129" s="9">
        <v>454</v>
      </c>
      <c r="L129" s="9">
        <v>2026</v>
      </c>
      <c r="M129" s="8" t="s">
        <v>890</v>
      </c>
      <c r="N129" s="8" t="s">
        <v>41</v>
      </c>
      <c r="O129" s="8" t="s">
        <v>42</v>
      </c>
      <c r="P129" s="6" t="s">
        <v>891</v>
      </c>
      <c r="Q129" s="8" t="s">
        <v>892</v>
      </c>
      <c r="R129" s="10" t="s">
        <v>893</v>
      </c>
      <c r="S129" s="11"/>
      <c r="T129" s="6"/>
      <c r="U129" s="14" t="str">
        <f>HYPERLINK("https://media.infra-m.ru/2221/2221056/cover/2221056.jpg", "Обложка")</f>
        <v>Обложка</v>
      </c>
      <c r="V129" s="14" t="str">
        <f>HYPERLINK("https://znanium.ru/catalog/product/2221056", "Ознакомиться")</f>
        <v>Ознакомиться</v>
      </c>
      <c r="W129" s="8" t="s">
        <v>733</v>
      </c>
      <c r="X129" s="6"/>
      <c r="Y129" s="6"/>
      <c r="Z129" s="6"/>
      <c r="AA129" s="6" t="s">
        <v>115</v>
      </c>
      <c r="AB129" s="8"/>
    </row>
    <row r="130" spans="1:28" s="4" customFormat="1" ht="51.95" customHeight="1" x14ac:dyDescent="0.2">
      <c r="A130" s="5">
        <v>0</v>
      </c>
      <c r="B130" s="6" t="s">
        <v>894</v>
      </c>
      <c r="C130" s="7">
        <v>2820</v>
      </c>
      <c r="D130" s="8" t="s">
        <v>895</v>
      </c>
      <c r="E130" s="8" t="s">
        <v>896</v>
      </c>
      <c r="F130" s="8" t="s">
        <v>897</v>
      </c>
      <c r="G130" s="6" t="s">
        <v>38</v>
      </c>
      <c r="H130" s="6" t="s">
        <v>39</v>
      </c>
      <c r="I130" s="8" t="s">
        <v>54</v>
      </c>
      <c r="J130" s="9">
        <v>1</v>
      </c>
      <c r="K130" s="9">
        <v>539</v>
      </c>
      <c r="L130" s="9">
        <v>2026</v>
      </c>
      <c r="M130" s="8" t="s">
        <v>898</v>
      </c>
      <c r="N130" s="8" t="s">
        <v>41</v>
      </c>
      <c r="O130" s="8" t="s">
        <v>42</v>
      </c>
      <c r="P130" s="6" t="s">
        <v>56</v>
      </c>
      <c r="Q130" s="8" t="s">
        <v>87</v>
      </c>
      <c r="R130" s="10" t="s">
        <v>899</v>
      </c>
      <c r="S130" s="11" t="s">
        <v>900</v>
      </c>
      <c r="T130" s="6"/>
      <c r="U130" s="14" t="str">
        <f>HYPERLINK("https://media.infra-m.ru/2222/2222395/cover/2222395.jpg", "Обложка")</f>
        <v>Обложка</v>
      </c>
      <c r="V130" s="14" t="str">
        <f>HYPERLINK("https://znanium.ru/catalog/product/2222395", "Ознакомиться")</f>
        <v>Ознакомиться</v>
      </c>
      <c r="W130" s="8" t="s">
        <v>159</v>
      </c>
      <c r="X130" s="6"/>
      <c r="Y130" s="6"/>
      <c r="Z130" s="6"/>
      <c r="AA130" s="6" t="s">
        <v>405</v>
      </c>
      <c r="AB130" s="8"/>
    </row>
    <row r="131" spans="1:28" s="4" customFormat="1" ht="42" customHeight="1" x14ac:dyDescent="0.2">
      <c r="A131" s="5">
        <v>0</v>
      </c>
      <c r="B131" s="6" t="s">
        <v>901</v>
      </c>
      <c r="C131" s="7">
        <v>1000</v>
      </c>
      <c r="D131" s="8" t="s">
        <v>902</v>
      </c>
      <c r="E131" s="8" t="s">
        <v>903</v>
      </c>
      <c r="F131" s="8" t="s">
        <v>904</v>
      </c>
      <c r="G131" s="6" t="s">
        <v>64</v>
      </c>
      <c r="H131" s="6" t="s">
        <v>39</v>
      </c>
      <c r="I131" s="8" t="s">
        <v>679</v>
      </c>
      <c r="J131" s="9">
        <v>1</v>
      </c>
      <c r="K131" s="9">
        <v>182</v>
      </c>
      <c r="L131" s="9">
        <v>2026</v>
      </c>
      <c r="M131" s="8" t="s">
        <v>905</v>
      </c>
      <c r="N131" s="8" t="s">
        <v>41</v>
      </c>
      <c r="O131" s="8" t="s">
        <v>42</v>
      </c>
      <c r="P131" s="6" t="s">
        <v>105</v>
      </c>
      <c r="Q131" s="8" t="s">
        <v>106</v>
      </c>
      <c r="R131" s="10" t="s">
        <v>69</v>
      </c>
      <c r="S131" s="11"/>
      <c r="T131" s="6" t="s">
        <v>453</v>
      </c>
      <c r="U131" s="14" t="str">
        <f>HYPERLINK("https://media.infra-m.ru/2225/2225041/cover/2225041.jpg", "Обложка")</f>
        <v>Обложка</v>
      </c>
      <c r="V131" s="14" t="str">
        <f>HYPERLINK("https://znanium.ru/catalog/product/2225041", "Ознакомиться")</f>
        <v>Ознакомиться</v>
      </c>
      <c r="W131" s="8" t="s">
        <v>58</v>
      </c>
      <c r="X131" s="6"/>
      <c r="Y131" s="6"/>
      <c r="Z131" s="6"/>
      <c r="AA131" s="6" t="s">
        <v>115</v>
      </c>
      <c r="AB131" s="8"/>
    </row>
    <row r="132" spans="1:28" s="4" customFormat="1" ht="51.95" customHeight="1" x14ac:dyDescent="0.2">
      <c r="A132" s="5">
        <v>0</v>
      </c>
      <c r="B132" s="6" t="s">
        <v>906</v>
      </c>
      <c r="C132" s="13">
        <v>944</v>
      </c>
      <c r="D132" s="8" t="s">
        <v>907</v>
      </c>
      <c r="E132" s="8" t="s">
        <v>908</v>
      </c>
      <c r="F132" s="8" t="s">
        <v>909</v>
      </c>
      <c r="G132" s="6" t="s">
        <v>53</v>
      </c>
      <c r="H132" s="6" t="s">
        <v>39</v>
      </c>
      <c r="I132" s="8" t="s">
        <v>336</v>
      </c>
      <c r="J132" s="9">
        <v>1</v>
      </c>
      <c r="K132" s="9">
        <v>172</v>
      </c>
      <c r="L132" s="9">
        <v>2026</v>
      </c>
      <c r="M132" s="8" t="s">
        <v>910</v>
      </c>
      <c r="N132" s="8" t="s">
        <v>41</v>
      </c>
      <c r="O132" s="8" t="s">
        <v>42</v>
      </c>
      <c r="P132" s="6" t="s">
        <v>56</v>
      </c>
      <c r="Q132" s="8" t="s">
        <v>87</v>
      </c>
      <c r="R132" s="10" t="s">
        <v>911</v>
      </c>
      <c r="S132" s="11" t="s">
        <v>912</v>
      </c>
      <c r="T132" s="6"/>
      <c r="U132" s="14" t="str">
        <f>HYPERLINK("https://media.infra-m.ru/2219/2219308/cover/2219308.jpg", "Обложка")</f>
        <v>Обложка</v>
      </c>
      <c r="V132" s="14" t="str">
        <f>HYPERLINK("https://znanium.ru/catalog/product/2143214", "Ознакомиться")</f>
        <v>Ознакомиться</v>
      </c>
      <c r="W132" s="8" t="s">
        <v>114</v>
      </c>
      <c r="X132" s="6"/>
      <c r="Y132" s="6"/>
      <c r="Z132" s="6"/>
      <c r="AA132" s="6" t="s">
        <v>913</v>
      </c>
      <c r="AB132" s="8"/>
    </row>
    <row r="133" spans="1:28" s="4" customFormat="1" ht="51.95" customHeight="1" x14ac:dyDescent="0.2">
      <c r="A133" s="5">
        <v>0</v>
      </c>
      <c r="B133" s="6" t="s">
        <v>914</v>
      </c>
      <c r="C133" s="13">
        <v>840</v>
      </c>
      <c r="D133" s="8" t="s">
        <v>915</v>
      </c>
      <c r="E133" s="8" t="s">
        <v>916</v>
      </c>
      <c r="F133" s="8" t="s">
        <v>917</v>
      </c>
      <c r="G133" s="6" t="s">
        <v>53</v>
      </c>
      <c r="H133" s="6" t="s">
        <v>39</v>
      </c>
      <c r="I133" s="8" t="s">
        <v>54</v>
      </c>
      <c r="J133" s="9">
        <v>1</v>
      </c>
      <c r="K133" s="9">
        <v>160</v>
      </c>
      <c r="L133" s="9">
        <v>2025</v>
      </c>
      <c r="M133" s="8" t="s">
        <v>918</v>
      </c>
      <c r="N133" s="8" t="s">
        <v>41</v>
      </c>
      <c r="O133" s="8" t="s">
        <v>42</v>
      </c>
      <c r="P133" s="6" t="s">
        <v>56</v>
      </c>
      <c r="Q133" s="8" t="s">
        <v>87</v>
      </c>
      <c r="R133" s="10" t="s">
        <v>97</v>
      </c>
      <c r="S133" s="11" t="s">
        <v>919</v>
      </c>
      <c r="T133" s="6"/>
      <c r="U133" s="14" t="str">
        <f>HYPERLINK("https://media.infra-m.ru/2161/2161658/cover/2161658.jpg", "Обложка")</f>
        <v>Обложка</v>
      </c>
      <c r="V133" s="14" t="str">
        <f>HYPERLINK("https://znanium.ru/catalog/product/2161658", "Ознакомиться")</f>
        <v>Ознакомиться</v>
      </c>
      <c r="W133" s="8" t="s">
        <v>114</v>
      </c>
      <c r="X133" s="6"/>
      <c r="Y133" s="6"/>
      <c r="Z133" s="6"/>
      <c r="AA133" s="6" t="s">
        <v>115</v>
      </c>
      <c r="AB133" s="8"/>
    </row>
    <row r="134" spans="1:28" s="4" customFormat="1" ht="51.95" customHeight="1" x14ac:dyDescent="0.2">
      <c r="A134" s="5">
        <v>0</v>
      </c>
      <c r="B134" s="6" t="s">
        <v>920</v>
      </c>
      <c r="C134" s="13">
        <v>620</v>
      </c>
      <c r="D134" s="8" t="s">
        <v>921</v>
      </c>
      <c r="E134" s="8" t="s">
        <v>922</v>
      </c>
      <c r="F134" s="8" t="s">
        <v>923</v>
      </c>
      <c r="G134" s="6" t="s">
        <v>64</v>
      </c>
      <c r="H134" s="6" t="s">
        <v>39</v>
      </c>
      <c r="I134" s="8" t="s">
        <v>283</v>
      </c>
      <c r="J134" s="9">
        <v>1</v>
      </c>
      <c r="K134" s="9">
        <v>137</v>
      </c>
      <c r="L134" s="9">
        <v>2023</v>
      </c>
      <c r="M134" s="8" t="s">
        <v>924</v>
      </c>
      <c r="N134" s="8" t="s">
        <v>41</v>
      </c>
      <c r="O134" s="8" t="s">
        <v>42</v>
      </c>
      <c r="P134" s="6" t="s">
        <v>56</v>
      </c>
      <c r="Q134" s="8" t="s">
        <v>87</v>
      </c>
      <c r="R134" s="10" t="s">
        <v>97</v>
      </c>
      <c r="S134" s="11" t="s">
        <v>925</v>
      </c>
      <c r="T134" s="6"/>
      <c r="U134" s="14" t="str">
        <f>HYPERLINK("https://media.infra-m.ru/1919/1919459/cover/1919459.jpg", "Обложка")</f>
        <v>Обложка</v>
      </c>
      <c r="V134" s="14" t="str">
        <f>HYPERLINK("https://znanium.ru/catalog/product/1919459", "Ознакомиться")</f>
        <v>Ознакомиться</v>
      </c>
      <c r="W134" s="8" t="s">
        <v>926</v>
      </c>
      <c r="X134" s="6"/>
      <c r="Y134" s="6"/>
      <c r="Z134" s="6"/>
      <c r="AA134" s="6" t="s">
        <v>71</v>
      </c>
      <c r="AB134" s="8"/>
    </row>
    <row r="135" spans="1:28" s="4" customFormat="1" ht="51.95" customHeight="1" x14ac:dyDescent="0.2">
      <c r="A135" s="5">
        <v>0</v>
      </c>
      <c r="B135" s="6" t="s">
        <v>927</v>
      </c>
      <c r="C135" s="7">
        <v>1044</v>
      </c>
      <c r="D135" s="8" t="s">
        <v>928</v>
      </c>
      <c r="E135" s="8" t="s">
        <v>929</v>
      </c>
      <c r="F135" s="8" t="s">
        <v>930</v>
      </c>
      <c r="G135" s="6" t="s">
        <v>53</v>
      </c>
      <c r="H135" s="6" t="s">
        <v>39</v>
      </c>
      <c r="I135" s="8" t="s">
        <v>931</v>
      </c>
      <c r="J135" s="9">
        <v>1</v>
      </c>
      <c r="K135" s="9">
        <v>207</v>
      </c>
      <c r="L135" s="9">
        <v>2023</v>
      </c>
      <c r="M135" s="8" t="s">
        <v>932</v>
      </c>
      <c r="N135" s="8" t="s">
        <v>41</v>
      </c>
      <c r="O135" s="8" t="s">
        <v>42</v>
      </c>
      <c r="P135" s="6" t="s">
        <v>105</v>
      </c>
      <c r="Q135" s="8" t="s">
        <v>106</v>
      </c>
      <c r="R135" s="10" t="s">
        <v>933</v>
      </c>
      <c r="S135" s="11"/>
      <c r="T135" s="6"/>
      <c r="U135" s="14" t="str">
        <f>HYPERLINK("https://media.infra-m.ru/2114/2114824/cover/2114824.jpg", "Обложка")</f>
        <v>Обложка</v>
      </c>
      <c r="V135" s="14" t="str">
        <f>HYPERLINK("https://znanium.ru/catalog/product/2105341", "Ознакомиться")</f>
        <v>Ознакомиться</v>
      </c>
      <c r="W135" s="8" t="s">
        <v>114</v>
      </c>
      <c r="X135" s="6"/>
      <c r="Y135" s="6"/>
      <c r="Z135" s="6"/>
      <c r="AA135" s="6" t="s">
        <v>59</v>
      </c>
      <c r="AB135" s="8" t="s">
        <v>825</v>
      </c>
    </row>
    <row r="136" spans="1:28" s="4" customFormat="1" ht="42" customHeight="1" x14ac:dyDescent="0.2">
      <c r="A136" s="5">
        <v>0</v>
      </c>
      <c r="B136" s="6" t="s">
        <v>934</v>
      </c>
      <c r="C136" s="13">
        <v>470</v>
      </c>
      <c r="D136" s="8" t="s">
        <v>935</v>
      </c>
      <c r="E136" s="8" t="s">
        <v>936</v>
      </c>
      <c r="F136" s="8" t="s">
        <v>937</v>
      </c>
      <c r="G136" s="6" t="s">
        <v>64</v>
      </c>
      <c r="H136" s="6" t="s">
        <v>39</v>
      </c>
      <c r="I136" s="8" t="s">
        <v>65</v>
      </c>
      <c r="J136" s="9">
        <v>1</v>
      </c>
      <c r="K136" s="9">
        <v>77</v>
      </c>
      <c r="L136" s="9">
        <v>2022</v>
      </c>
      <c r="M136" s="8" t="s">
        <v>938</v>
      </c>
      <c r="N136" s="8" t="s">
        <v>41</v>
      </c>
      <c r="O136" s="8" t="s">
        <v>42</v>
      </c>
      <c r="P136" s="6" t="s">
        <v>561</v>
      </c>
      <c r="Q136" s="8" t="s">
        <v>121</v>
      </c>
      <c r="R136" s="10" t="s">
        <v>939</v>
      </c>
      <c r="S136" s="11"/>
      <c r="T136" s="6"/>
      <c r="U136" s="14" t="str">
        <f>HYPERLINK("https://media.infra-m.ru/1946/1946191/cover/1946191.jpg", "Обложка")</f>
        <v>Обложка</v>
      </c>
      <c r="V136" s="14" t="str">
        <f>HYPERLINK("https://znanium.ru/catalog/product/1922279", "Ознакомиться")</f>
        <v>Ознакомиться</v>
      </c>
      <c r="W136" s="8" t="s">
        <v>940</v>
      </c>
      <c r="X136" s="6"/>
      <c r="Y136" s="6"/>
      <c r="Z136" s="6"/>
      <c r="AA136" s="6" t="s">
        <v>125</v>
      </c>
      <c r="AB136" s="8"/>
    </row>
    <row r="137" spans="1:28" s="4" customFormat="1" ht="51.95" customHeight="1" x14ac:dyDescent="0.2">
      <c r="A137" s="5">
        <v>0</v>
      </c>
      <c r="B137" s="6" t="s">
        <v>941</v>
      </c>
      <c r="C137" s="13">
        <v>990</v>
      </c>
      <c r="D137" s="8" t="s">
        <v>942</v>
      </c>
      <c r="E137" s="8" t="s">
        <v>943</v>
      </c>
      <c r="F137" s="8" t="s">
        <v>944</v>
      </c>
      <c r="G137" s="6" t="s">
        <v>38</v>
      </c>
      <c r="H137" s="6" t="s">
        <v>39</v>
      </c>
      <c r="I137" s="8" t="s">
        <v>54</v>
      </c>
      <c r="J137" s="9">
        <v>1</v>
      </c>
      <c r="K137" s="9">
        <v>162</v>
      </c>
      <c r="L137" s="9">
        <v>2025</v>
      </c>
      <c r="M137" s="8" t="s">
        <v>945</v>
      </c>
      <c r="N137" s="8" t="s">
        <v>41</v>
      </c>
      <c r="O137" s="8" t="s">
        <v>42</v>
      </c>
      <c r="P137" s="6" t="s">
        <v>56</v>
      </c>
      <c r="Q137" s="8" t="s">
        <v>87</v>
      </c>
      <c r="R137" s="10" t="s">
        <v>946</v>
      </c>
      <c r="S137" s="11"/>
      <c r="T137" s="6"/>
      <c r="U137" s="14" t="str">
        <f>HYPERLINK("https://media.infra-m.ru/2162/2162062/cover/2162062.jpg", "Обложка")</f>
        <v>Обложка</v>
      </c>
      <c r="V137" s="14" t="str">
        <f>HYPERLINK("https://znanium.ru/catalog/product/2162062", "Ознакомиться")</f>
        <v>Ознакомиться</v>
      </c>
      <c r="W137" s="8" t="s">
        <v>361</v>
      </c>
      <c r="X137" s="6" t="s">
        <v>521</v>
      </c>
      <c r="Y137" s="6"/>
      <c r="Z137" s="6"/>
      <c r="AA137" s="6" t="s">
        <v>81</v>
      </c>
      <c r="AB137" s="8"/>
    </row>
    <row r="138" spans="1:28" s="4" customFormat="1" ht="42" customHeight="1" x14ac:dyDescent="0.2">
      <c r="A138" s="5">
        <v>0</v>
      </c>
      <c r="B138" s="6" t="s">
        <v>947</v>
      </c>
      <c r="C138" s="7">
        <v>1890</v>
      </c>
      <c r="D138" s="8" t="s">
        <v>948</v>
      </c>
      <c r="E138" s="8" t="s">
        <v>949</v>
      </c>
      <c r="F138" s="8" t="s">
        <v>950</v>
      </c>
      <c r="G138" s="6" t="s">
        <v>53</v>
      </c>
      <c r="H138" s="6" t="s">
        <v>39</v>
      </c>
      <c r="I138" s="8" t="s">
        <v>139</v>
      </c>
      <c r="J138" s="9">
        <v>1</v>
      </c>
      <c r="K138" s="9">
        <v>332</v>
      </c>
      <c r="L138" s="9">
        <v>2026</v>
      </c>
      <c r="M138" s="8" t="s">
        <v>951</v>
      </c>
      <c r="N138" s="8" t="s">
        <v>41</v>
      </c>
      <c r="O138" s="8" t="s">
        <v>42</v>
      </c>
      <c r="P138" s="6" t="s">
        <v>56</v>
      </c>
      <c r="Q138" s="8" t="s">
        <v>141</v>
      </c>
      <c r="R138" s="10" t="s">
        <v>952</v>
      </c>
      <c r="S138" s="11"/>
      <c r="T138" s="6"/>
      <c r="U138" s="14" t="str">
        <f>HYPERLINK("https://media.infra-m.ru/2232/2232552/cover/2232552.jpg", "Обложка")</f>
        <v>Обложка</v>
      </c>
      <c r="V138" s="14" t="str">
        <f>HYPERLINK("https://znanium.ru/catalog/product/2232552", "Ознакомиться")</f>
        <v>Ознакомиться</v>
      </c>
      <c r="W138" s="8" t="s">
        <v>953</v>
      </c>
      <c r="X138" s="6"/>
      <c r="Y138" s="6"/>
      <c r="Z138" s="6"/>
      <c r="AA138" s="6" t="s">
        <v>81</v>
      </c>
      <c r="AB138" s="8" t="s">
        <v>954</v>
      </c>
    </row>
    <row r="139" spans="1:28" s="4" customFormat="1" ht="42" customHeight="1" x14ac:dyDescent="0.2">
      <c r="A139" s="5">
        <v>0</v>
      </c>
      <c r="B139" s="6" t="s">
        <v>955</v>
      </c>
      <c r="C139" s="13">
        <v>760</v>
      </c>
      <c r="D139" s="8" t="s">
        <v>956</v>
      </c>
      <c r="E139" s="8" t="s">
        <v>957</v>
      </c>
      <c r="F139" s="8" t="s">
        <v>958</v>
      </c>
      <c r="G139" s="6" t="s">
        <v>64</v>
      </c>
      <c r="H139" s="6" t="s">
        <v>39</v>
      </c>
      <c r="I139" s="8" t="s">
        <v>103</v>
      </c>
      <c r="J139" s="9">
        <v>1</v>
      </c>
      <c r="K139" s="9">
        <v>155</v>
      </c>
      <c r="L139" s="9">
        <v>2023</v>
      </c>
      <c r="M139" s="8" t="s">
        <v>959</v>
      </c>
      <c r="N139" s="8" t="s">
        <v>41</v>
      </c>
      <c r="O139" s="8" t="s">
        <v>42</v>
      </c>
      <c r="P139" s="6" t="s">
        <v>105</v>
      </c>
      <c r="Q139" s="8" t="s">
        <v>106</v>
      </c>
      <c r="R139" s="10" t="s">
        <v>97</v>
      </c>
      <c r="S139" s="11"/>
      <c r="T139" s="6"/>
      <c r="U139" s="14" t="str">
        <f>HYPERLINK("https://media.infra-m.ru/1932/1932263/cover/1932263.jpg", "Обложка")</f>
        <v>Обложка</v>
      </c>
      <c r="V139" s="14" t="str">
        <f>HYPERLINK("https://znanium.ru/catalog/product/1932263", "Ознакомиться")</f>
        <v>Ознакомиться</v>
      </c>
      <c r="W139" s="8" t="s">
        <v>175</v>
      </c>
      <c r="X139" s="6"/>
      <c r="Y139" s="6"/>
      <c r="Z139" s="6"/>
      <c r="AA139" s="6" t="s">
        <v>59</v>
      </c>
      <c r="AB139" s="8"/>
    </row>
    <row r="140" spans="1:28" s="4" customFormat="1" ht="42" customHeight="1" x14ac:dyDescent="0.2">
      <c r="A140" s="5">
        <v>0</v>
      </c>
      <c r="B140" s="6" t="s">
        <v>960</v>
      </c>
      <c r="C140" s="13">
        <v>990</v>
      </c>
      <c r="D140" s="8" t="s">
        <v>961</v>
      </c>
      <c r="E140" s="8" t="s">
        <v>962</v>
      </c>
      <c r="F140" s="8" t="s">
        <v>963</v>
      </c>
      <c r="G140" s="6" t="s">
        <v>53</v>
      </c>
      <c r="H140" s="6" t="s">
        <v>39</v>
      </c>
      <c r="I140" s="8" t="s">
        <v>103</v>
      </c>
      <c r="J140" s="9">
        <v>1</v>
      </c>
      <c r="K140" s="9">
        <v>202</v>
      </c>
      <c r="L140" s="9">
        <v>2023</v>
      </c>
      <c r="M140" s="8" t="s">
        <v>964</v>
      </c>
      <c r="N140" s="8" t="s">
        <v>41</v>
      </c>
      <c r="O140" s="8" t="s">
        <v>42</v>
      </c>
      <c r="P140" s="6" t="s">
        <v>105</v>
      </c>
      <c r="Q140" s="8" t="s">
        <v>106</v>
      </c>
      <c r="R140" s="10" t="s">
        <v>97</v>
      </c>
      <c r="S140" s="11"/>
      <c r="T140" s="6"/>
      <c r="U140" s="14" t="str">
        <f>HYPERLINK("https://media.infra-m.ru/1971/1971053/cover/1971053.jpg", "Обложка")</f>
        <v>Обложка</v>
      </c>
      <c r="V140" s="14" t="str">
        <f>HYPERLINK("https://znanium.ru/catalog/product/1971053", "Ознакомиться")</f>
        <v>Ознакомиться</v>
      </c>
      <c r="W140" s="8" t="s">
        <v>361</v>
      </c>
      <c r="X140" s="6"/>
      <c r="Y140" s="6"/>
      <c r="Z140" s="6"/>
      <c r="AA140" s="6" t="s">
        <v>115</v>
      </c>
      <c r="AB140" s="8"/>
    </row>
    <row r="141" spans="1:28" s="4" customFormat="1" ht="51.95" customHeight="1" x14ac:dyDescent="0.2">
      <c r="A141" s="5">
        <v>0</v>
      </c>
      <c r="B141" s="6" t="s">
        <v>965</v>
      </c>
      <c r="C141" s="13">
        <v>770</v>
      </c>
      <c r="D141" s="8" t="s">
        <v>966</v>
      </c>
      <c r="E141" s="8" t="s">
        <v>967</v>
      </c>
      <c r="F141" s="8" t="s">
        <v>968</v>
      </c>
      <c r="G141" s="6" t="s">
        <v>53</v>
      </c>
      <c r="H141" s="6" t="s">
        <v>39</v>
      </c>
      <c r="I141" s="8" t="s">
        <v>54</v>
      </c>
      <c r="J141" s="9">
        <v>1</v>
      </c>
      <c r="K141" s="9">
        <v>131</v>
      </c>
      <c r="L141" s="9">
        <v>2026</v>
      </c>
      <c r="M141" s="8" t="s">
        <v>969</v>
      </c>
      <c r="N141" s="8" t="s">
        <v>41</v>
      </c>
      <c r="O141" s="8" t="s">
        <v>42</v>
      </c>
      <c r="P141" s="6" t="s">
        <v>43</v>
      </c>
      <c r="Q141" s="8" t="s">
        <v>87</v>
      </c>
      <c r="R141" s="10" t="s">
        <v>970</v>
      </c>
      <c r="S141" s="11" t="s">
        <v>971</v>
      </c>
      <c r="T141" s="6"/>
      <c r="U141" s="14" t="str">
        <f>HYPERLINK("https://media.infra-m.ru/2231/2231764/cover/2231764.jpg", "Обложка")</f>
        <v>Обложка</v>
      </c>
      <c r="V141" s="14" t="str">
        <f>HYPERLINK("https://znanium.ru/catalog/product/2231764", "Ознакомиться")</f>
        <v>Ознакомиться</v>
      </c>
      <c r="W141" s="8" t="s">
        <v>114</v>
      </c>
      <c r="X141" s="6"/>
      <c r="Y141" s="6"/>
      <c r="Z141" s="6"/>
      <c r="AA141" s="6" t="s">
        <v>913</v>
      </c>
      <c r="AB141" s="8"/>
    </row>
    <row r="142" spans="1:28" s="4" customFormat="1" ht="44.1" customHeight="1" x14ac:dyDescent="0.2">
      <c r="A142" s="5">
        <v>0</v>
      </c>
      <c r="B142" s="6" t="s">
        <v>972</v>
      </c>
      <c r="C142" s="7">
        <v>1060</v>
      </c>
      <c r="D142" s="8" t="s">
        <v>973</v>
      </c>
      <c r="E142" s="8" t="s">
        <v>974</v>
      </c>
      <c r="F142" s="8" t="s">
        <v>975</v>
      </c>
      <c r="G142" s="6" t="s">
        <v>53</v>
      </c>
      <c r="H142" s="6" t="s">
        <v>39</v>
      </c>
      <c r="I142" s="8" t="s">
        <v>336</v>
      </c>
      <c r="J142" s="9">
        <v>1</v>
      </c>
      <c r="K142" s="9">
        <v>196</v>
      </c>
      <c r="L142" s="9">
        <v>2024</v>
      </c>
      <c r="M142" s="8" t="s">
        <v>976</v>
      </c>
      <c r="N142" s="8" t="s">
        <v>41</v>
      </c>
      <c r="O142" s="8" t="s">
        <v>42</v>
      </c>
      <c r="P142" s="6" t="s">
        <v>56</v>
      </c>
      <c r="Q142" s="8" t="s">
        <v>87</v>
      </c>
      <c r="R142" s="10" t="s">
        <v>541</v>
      </c>
      <c r="S142" s="11"/>
      <c r="T142" s="6"/>
      <c r="U142" s="14" t="str">
        <f>HYPERLINK("https://media.infra-m.ru/2128/2128581/cover/2128581.jpg", "Обложка")</f>
        <v>Обложка</v>
      </c>
      <c r="V142" s="14" t="str">
        <f>HYPERLINK("https://znanium.ru/catalog/product/2128581", "Ознакомиться")</f>
        <v>Ознакомиться</v>
      </c>
      <c r="W142" s="8" t="s">
        <v>114</v>
      </c>
      <c r="X142" s="6"/>
      <c r="Y142" s="6"/>
      <c r="Z142" s="6"/>
      <c r="AA142" s="6" t="s">
        <v>59</v>
      </c>
      <c r="AB142" s="8" t="s">
        <v>977</v>
      </c>
    </row>
    <row r="143" spans="1:28" s="4" customFormat="1" ht="42" customHeight="1" x14ac:dyDescent="0.2">
      <c r="A143" s="5">
        <v>0</v>
      </c>
      <c r="B143" s="6" t="s">
        <v>978</v>
      </c>
      <c r="C143" s="13">
        <v>554</v>
      </c>
      <c r="D143" s="8" t="s">
        <v>979</v>
      </c>
      <c r="E143" s="8" t="s">
        <v>980</v>
      </c>
      <c r="F143" s="8" t="s">
        <v>981</v>
      </c>
      <c r="G143" s="6" t="s">
        <v>64</v>
      </c>
      <c r="H143" s="6" t="s">
        <v>95</v>
      </c>
      <c r="I143" s="8" t="s">
        <v>982</v>
      </c>
      <c r="J143" s="9">
        <v>1</v>
      </c>
      <c r="K143" s="9">
        <v>155</v>
      </c>
      <c r="L143" s="9">
        <v>2026</v>
      </c>
      <c r="M143" s="8" t="s">
        <v>983</v>
      </c>
      <c r="N143" s="8" t="s">
        <v>41</v>
      </c>
      <c r="O143" s="8" t="s">
        <v>42</v>
      </c>
      <c r="P143" s="6" t="s">
        <v>56</v>
      </c>
      <c r="Q143" s="8" t="s">
        <v>87</v>
      </c>
      <c r="R143" s="10" t="s">
        <v>97</v>
      </c>
      <c r="S143" s="11"/>
      <c r="T143" s="6"/>
      <c r="U143" s="14" t="str">
        <f>HYPERLINK("https://media.infra-m.ru/2223/2223700/cover/2223700.jpg", "Обложка")</f>
        <v>Обложка</v>
      </c>
      <c r="V143" s="12"/>
      <c r="W143" s="8"/>
      <c r="X143" s="6"/>
      <c r="Y143" s="6"/>
      <c r="Z143" s="6"/>
      <c r="AA143" s="6" t="s">
        <v>98</v>
      </c>
      <c r="AB143" s="8"/>
    </row>
    <row r="144" spans="1:28" s="4" customFormat="1" ht="51.95" customHeight="1" x14ac:dyDescent="0.2">
      <c r="A144" s="5">
        <v>0</v>
      </c>
      <c r="B144" s="6" t="s">
        <v>984</v>
      </c>
      <c r="C144" s="7">
        <v>2904</v>
      </c>
      <c r="D144" s="8" t="s">
        <v>985</v>
      </c>
      <c r="E144" s="8" t="s">
        <v>986</v>
      </c>
      <c r="F144" s="8" t="s">
        <v>987</v>
      </c>
      <c r="G144" s="6" t="s">
        <v>53</v>
      </c>
      <c r="H144" s="6" t="s">
        <v>39</v>
      </c>
      <c r="I144" s="8" t="s">
        <v>139</v>
      </c>
      <c r="J144" s="9">
        <v>1</v>
      </c>
      <c r="K144" s="9">
        <v>560</v>
      </c>
      <c r="L144" s="9">
        <v>2025</v>
      </c>
      <c r="M144" s="8" t="s">
        <v>988</v>
      </c>
      <c r="N144" s="8" t="s">
        <v>41</v>
      </c>
      <c r="O144" s="8" t="s">
        <v>42</v>
      </c>
      <c r="P144" s="6" t="s">
        <v>131</v>
      </c>
      <c r="Q144" s="8" t="s">
        <v>141</v>
      </c>
      <c r="R144" s="10" t="s">
        <v>989</v>
      </c>
      <c r="S144" s="11" t="s">
        <v>990</v>
      </c>
      <c r="T144" s="6"/>
      <c r="U144" s="14" t="str">
        <f>HYPERLINK("https://media.infra-m.ru/2179/2179492/cover/2179492.jpg", "Обложка")</f>
        <v>Обложка</v>
      </c>
      <c r="V144" s="12"/>
      <c r="W144" s="8" t="s">
        <v>234</v>
      </c>
      <c r="X144" s="6"/>
      <c r="Y144" s="6"/>
      <c r="Z144" s="6" t="s">
        <v>529</v>
      </c>
      <c r="AA144" s="6" t="s">
        <v>405</v>
      </c>
      <c r="AB144" s="8"/>
    </row>
    <row r="145" spans="1:28" s="4" customFormat="1" ht="51.95" customHeight="1" x14ac:dyDescent="0.2">
      <c r="A145" s="5">
        <v>0</v>
      </c>
      <c r="B145" s="6" t="s">
        <v>991</v>
      </c>
      <c r="C145" s="7">
        <v>2794</v>
      </c>
      <c r="D145" s="8" t="s">
        <v>992</v>
      </c>
      <c r="E145" s="8" t="s">
        <v>986</v>
      </c>
      <c r="F145" s="8" t="s">
        <v>987</v>
      </c>
      <c r="G145" s="6" t="s">
        <v>53</v>
      </c>
      <c r="H145" s="6" t="s">
        <v>39</v>
      </c>
      <c r="I145" s="8" t="s">
        <v>283</v>
      </c>
      <c r="J145" s="9">
        <v>1</v>
      </c>
      <c r="K145" s="9">
        <v>560</v>
      </c>
      <c r="L145" s="9">
        <v>2025</v>
      </c>
      <c r="M145" s="8" t="s">
        <v>993</v>
      </c>
      <c r="N145" s="8" t="s">
        <v>41</v>
      </c>
      <c r="O145" s="8" t="s">
        <v>42</v>
      </c>
      <c r="P145" s="6" t="s">
        <v>131</v>
      </c>
      <c r="Q145" s="8" t="s">
        <v>87</v>
      </c>
      <c r="R145" s="10" t="s">
        <v>994</v>
      </c>
      <c r="S145" s="11" t="s">
        <v>995</v>
      </c>
      <c r="T145" s="6"/>
      <c r="U145" s="14" t="str">
        <f>HYPERLINK("https://media.infra-m.ru/2188/2188651/cover/2188651.jpg", "Обложка")</f>
        <v>Обложка</v>
      </c>
      <c r="V145" s="14" t="str">
        <f>HYPERLINK("https://znanium.ru/catalog/product/2085115", "Ознакомиться")</f>
        <v>Ознакомиться</v>
      </c>
      <c r="W145" s="8" t="s">
        <v>234</v>
      </c>
      <c r="X145" s="6"/>
      <c r="Y145" s="6"/>
      <c r="Z145" s="6"/>
      <c r="AA145" s="6" t="s">
        <v>115</v>
      </c>
      <c r="AB145" s="8"/>
    </row>
    <row r="146" spans="1:28" s="4" customFormat="1" ht="42" customHeight="1" x14ac:dyDescent="0.2">
      <c r="A146" s="5">
        <v>0</v>
      </c>
      <c r="B146" s="6" t="s">
        <v>996</v>
      </c>
      <c r="C146" s="7">
        <v>1630</v>
      </c>
      <c r="D146" s="8" t="s">
        <v>997</v>
      </c>
      <c r="E146" s="8" t="s">
        <v>998</v>
      </c>
      <c r="F146" s="8" t="s">
        <v>999</v>
      </c>
      <c r="G146" s="6" t="s">
        <v>64</v>
      </c>
      <c r="H146" s="6" t="s">
        <v>39</v>
      </c>
      <c r="I146" s="8" t="s">
        <v>103</v>
      </c>
      <c r="J146" s="9">
        <v>1</v>
      </c>
      <c r="K146" s="9">
        <v>313</v>
      </c>
      <c r="L146" s="9">
        <v>2026</v>
      </c>
      <c r="M146" s="8" t="s">
        <v>1000</v>
      </c>
      <c r="N146" s="8" t="s">
        <v>41</v>
      </c>
      <c r="O146" s="8" t="s">
        <v>42</v>
      </c>
      <c r="P146" s="6" t="s">
        <v>105</v>
      </c>
      <c r="Q146" s="8" t="s">
        <v>106</v>
      </c>
      <c r="R146" s="10" t="s">
        <v>1001</v>
      </c>
      <c r="S146" s="11"/>
      <c r="T146" s="6"/>
      <c r="U146" s="14" t="str">
        <f>HYPERLINK("https://media.infra-m.ru/2139/2139296/cover/2139296.jpg", "Обложка")</f>
        <v>Обложка</v>
      </c>
      <c r="V146" s="14" t="str">
        <f>HYPERLINK("https://znanium.ru/catalog/product/2139296", "Ознакомиться")</f>
        <v>Ознакомиться</v>
      </c>
      <c r="W146" s="8" t="s">
        <v>1002</v>
      </c>
      <c r="X146" s="6"/>
      <c r="Y146" s="6"/>
      <c r="Z146" s="6"/>
      <c r="AA146" s="6" t="s">
        <v>330</v>
      </c>
      <c r="AB146" s="8"/>
    </row>
    <row r="147" spans="1:28" s="4" customFormat="1" ht="44.1" customHeight="1" x14ac:dyDescent="0.2">
      <c r="A147" s="5">
        <v>0</v>
      </c>
      <c r="B147" s="6" t="s">
        <v>1003</v>
      </c>
      <c r="C147" s="7">
        <v>1680</v>
      </c>
      <c r="D147" s="8" t="s">
        <v>1004</v>
      </c>
      <c r="E147" s="8" t="s">
        <v>1005</v>
      </c>
      <c r="F147" s="8" t="s">
        <v>1006</v>
      </c>
      <c r="G147" s="6" t="s">
        <v>53</v>
      </c>
      <c r="H147" s="6" t="s">
        <v>39</v>
      </c>
      <c r="I147" s="8" t="s">
        <v>139</v>
      </c>
      <c r="J147" s="9">
        <v>1</v>
      </c>
      <c r="K147" s="9">
        <v>336</v>
      </c>
      <c r="L147" s="9">
        <v>2024</v>
      </c>
      <c r="M147" s="8" t="s">
        <v>1007</v>
      </c>
      <c r="N147" s="8" t="s">
        <v>41</v>
      </c>
      <c r="O147" s="8" t="s">
        <v>42</v>
      </c>
      <c r="P147" s="6" t="s">
        <v>56</v>
      </c>
      <c r="Q147" s="8" t="s">
        <v>141</v>
      </c>
      <c r="R147" s="10" t="s">
        <v>1008</v>
      </c>
      <c r="S147" s="11"/>
      <c r="T147" s="6"/>
      <c r="U147" s="14" t="str">
        <f>HYPERLINK("https://media.infra-m.ru/2136/2136739/cover/2136739.jpg", "Обложка")</f>
        <v>Обложка</v>
      </c>
      <c r="V147" s="14" t="str">
        <f>HYPERLINK("https://znanium.ru/catalog/product/2136739", "Ознакомиться")</f>
        <v>Ознакомиться</v>
      </c>
      <c r="W147" s="8" t="s">
        <v>1009</v>
      </c>
      <c r="X147" s="6"/>
      <c r="Y147" s="6"/>
      <c r="Z147" s="6"/>
      <c r="AA147" s="6" t="s">
        <v>48</v>
      </c>
      <c r="AB147" s="8" t="s">
        <v>1010</v>
      </c>
    </row>
    <row r="148" spans="1:28" s="4" customFormat="1" ht="51.95" customHeight="1" x14ac:dyDescent="0.2">
      <c r="A148" s="5">
        <v>0</v>
      </c>
      <c r="B148" s="6" t="s">
        <v>1011</v>
      </c>
      <c r="C148" s="7">
        <v>2204</v>
      </c>
      <c r="D148" s="8" t="s">
        <v>1012</v>
      </c>
      <c r="E148" s="8" t="s">
        <v>1013</v>
      </c>
      <c r="F148" s="8" t="s">
        <v>1014</v>
      </c>
      <c r="G148" s="6" t="s">
        <v>53</v>
      </c>
      <c r="H148" s="6" t="s">
        <v>39</v>
      </c>
      <c r="I148" s="8" t="s">
        <v>139</v>
      </c>
      <c r="J148" s="9">
        <v>1</v>
      </c>
      <c r="K148" s="9">
        <v>400</v>
      </c>
      <c r="L148" s="9">
        <v>2026</v>
      </c>
      <c r="M148" s="8" t="s">
        <v>1015</v>
      </c>
      <c r="N148" s="8" t="s">
        <v>41</v>
      </c>
      <c r="O148" s="8" t="s">
        <v>42</v>
      </c>
      <c r="P148" s="6" t="s">
        <v>56</v>
      </c>
      <c r="Q148" s="8" t="s">
        <v>141</v>
      </c>
      <c r="R148" s="10" t="s">
        <v>1016</v>
      </c>
      <c r="S148" s="11"/>
      <c r="T148" s="6"/>
      <c r="U148" s="14" t="str">
        <f>HYPERLINK("https://media.infra-m.ru/2226/2226472/cover/2226472.jpg", "Обложка")</f>
        <v>Обложка</v>
      </c>
      <c r="V148" s="14" t="str">
        <f>HYPERLINK("https://znanium.ru/catalog/product/2179687", "Ознакомиться")</f>
        <v>Ознакомиться</v>
      </c>
      <c r="W148" s="8" t="s">
        <v>1017</v>
      </c>
      <c r="X148" s="6"/>
      <c r="Y148" s="6"/>
      <c r="Z148" s="6"/>
      <c r="AA148" s="6" t="s">
        <v>272</v>
      </c>
      <c r="AB148" s="8"/>
    </row>
    <row r="149" spans="1:28" s="4" customFormat="1" ht="51.95" customHeight="1" x14ac:dyDescent="0.2">
      <c r="A149" s="5">
        <v>0</v>
      </c>
      <c r="B149" s="6" t="s">
        <v>1018</v>
      </c>
      <c r="C149" s="7">
        <v>1350</v>
      </c>
      <c r="D149" s="8" t="s">
        <v>1019</v>
      </c>
      <c r="E149" s="8" t="s">
        <v>1020</v>
      </c>
      <c r="F149" s="8" t="s">
        <v>1021</v>
      </c>
      <c r="G149" s="6" t="s">
        <v>53</v>
      </c>
      <c r="H149" s="6" t="s">
        <v>39</v>
      </c>
      <c r="I149" s="8" t="s">
        <v>65</v>
      </c>
      <c r="J149" s="9">
        <v>1</v>
      </c>
      <c r="K149" s="9">
        <v>245</v>
      </c>
      <c r="L149" s="9">
        <v>2026</v>
      </c>
      <c r="M149" s="8" t="s">
        <v>1022</v>
      </c>
      <c r="N149" s="8" t="s">
        <v>41</v>
      </c>
      <c r="O149" s="8" t="s">
        <v>42</v>
      </c>
      <c r="P149" s="6" t="s">
        <v>67</v>
      </c>
      <c r="Q149" s="8" t="s">
        <v>44</v>
      </c>
      <c r="R149" s="10" t="s">
        <v>1023</v>
      </c>
      <c r="S149" s="11"/>
      <c r="T149" s="6"/>
      <c r="U149" s="14" t="str">
        <f>HYPERLINK("https://media.infra-m.ru/2224/2224095/cover/2224095.jpg", "Обложка")</f>
        <v>Обложка</v>
      </c>
      <c r="V149" s="14" t="str">
        <f>HYPERLINK("https://znanium.ru/catalog/product/2224095", "Ознакомиться")</f>
        <v>Ознакомиться</v>
      </c>
      <c r="W149" s="8" t="s">
        <v>1024</v>
      </c>
      <c r="X149" s="6"/>
      <c r="Y149" s="6"/>
      <c r="Z149" s="6"/>
      <c r="AA149" s="6" t="s">
        <v>742</v>
      </c>
      <c r="AB149" s="8"/>
    </row>
    <row r="150" spans="1:28" s="4" customFormat="1" ht="51.95" customHeight="1" x14ac:dyDescent="0.2">
      <c r="A150" s="5">
        <v>0</v>
      </c>
      <c r="B150" s="6" t="s">
        <v>1025</v>
      </c>
      <c r="C150" s="7">
        <v>1060</v>
      </c>
      <c r="D150" s="8" t="s">
        <v>1026</v>
      </c>
      <c r="E150" s="8" t="s">
        <v>1027</v>
      </c>
      <c r="F150" s="8" t="s">
        <v>1021</v>
      </c>
      <c r="G150" s="6" t="s">
        <v>53</v>
      </c>
      <c r="H150" s="6" t="s">
        <v>39</v>
      </c>
      <c r="I150" s="8" t="s">
        <v>65</v>
      </c>
      <c r="J150" s="9">
        <v>1</v>
      </c>
      <c r="K150" s="9">
        <v>234</v>
      </c>
      <c r="L150" s="9">
        <v>2022</v>
      </c>
      <c r="M150" s="8" t="s">
        <v>1028</v>
      </c>
      <c r="N150" s="8" t="s">
        <v>41</v>
      </c>
      <c r="O150" s="8" t="s">
        <v>42</v>
      </c>
      <c r="P150" s="6" t="s">
        <v>67</v>
      </c>
      <c r="Q150" s="8" t="s">
        <v>44</v>
      </c>
      <c r="R150" s="10" t="s">
        <v>1023</v>
      </c>
      <c r="S150" s="11"/>
      <c r="T150" s="6"/>
      <c r="U150" s="14" t="str">
        <f>HYPERLINK("https://media.infra-m.ru/1891/1891838/cover/1891838.jpg", "Обложка")</f>
        <v>Обложка</v>
      </c>
      <c r="V150" s="14" t="str">
        <f>HYPERLINK("https://znanium.ru/catalog/product/2224095", "Ознакомиться")</f>
        <v>Ознакомиться</v>
      </c>
      <c r="W150" s="8" t="s">
        <v>1024</v>
      </c>
      <c r="X150" s="6"/>
      <c r="Y150" s="6"/>
      <c r="Z150" s="6"/>
      <c r="AA150" s="6" t="s">
        <v>330</v>
      </c>
      <c r="AB150" s="8"/>
    </row>
    <row r="151" spans="1:28" s="4" customFormat="1" ht="44.1" customHeight="1" x14ac:dyDescent="0.2">
      <c r="A151" s="5">
        <v>0</v>
      </c>
      <c r="B151" s="6" t="s">
        <v>1029</v>
      </c>
      <c r="C151" s="7">
        <v>2334</v>
      </c>
      <c r="D151" s="8" t="s">
        <v>1030</v>
      </c>
      <c r="E151" s="8" t="s">
        <v>1031</v>
      </c>
      <c r="F151" s="8" t="s">
        <v>1032</v>
      </c>
      <c r="G151" s="6" t="s">
        <v>53</v>
      </c>
      <c r="H151" s="6" t="s">
        <v>39</v>
      </c>
      <c r="I151" s="8" t="s">
        <v>103</v>
      </c>
      <c r="J151" s="9">
        <v>1</v>
      </c>
      <c r="K151" s="9">
        <v>424</v>
      </c>
      <c r="L151" s="9">
        <v>2026</v>
      </c>
      <c r="M151" s="8" t="s">
        <v>1033</v>
      </c>
      <c r="N151" s="8" t="s">
        <v>41</v>
      </c>
      <c r="O151" s="8" t="s">
        <v>42</v>
      </c>
      <c r="P151" s="6" t="s">
        <v>105</v>
      </c>
      <c r="Q151" s="8" t="s">
        <v>106</v>
      </c>
      <c r="R151" s="10" t="s">
        <v>1034</v>
      </c>
      <c r="S151" s="11"/>
      <c r="T151" s="6"/>
      <c r="U151" s="14" t="str">
        <f>HYPERLINK("https://media.infra-m.ru/2225/2225174/cover/2225174.jpg", "Обложка")</f>
        <v>Обложка</v>
      </c>
      <c r="V151" s="14" t="str">
        <f>HYPERLINK("https://znanium.ru/catalog/product/1157259", "Ознакомиться")</f>
        <v>Ознакомиться</v>
      </c>
      <c r="W151" s="8" t="s">
        <v>1035</v>
      </c>
      <c r="X151" s="6"/>
      <c r="Y151" s="6"/>
      <c r="Z151" s="6"/>
      <c r="AA151" s="6" t="s">
        <v>176</v>
      </c>
      <c r="AB151" s="8"/>
    </row>
    <row r="152" spans="1:28" s="4" customFormat="1" ht="42" customHeight="1" x14ac:dyDescent="0.2">
      <c r="A152" s="5">
        <v>0</v>
      </c>
      <c r="B152" s="6" t="s">
        <v>1036</v>
      </c>
      <c r="C152" s="13">
        <v>974</v>
      </c>
      <c r="D152" s="8" t="s">
        <v>1037</v>
      </c>
      <c r="E152" s="8" t="s">
        <v>1038</v>
      </c>
      <c r="F152" s="8" t="s">
        <v>574</v>
      </c>
      <c r="G152" s="6" t="s">
        <v>64</v>
      </c>
      <c r="H152" s="6" t="s">
        <v>39</v>
      </c>
      <c r="I152" s="8" t="s">
        <v>65</v>
      </c>
      <c r="J152" s="9">
        <v>1</v>
      </c>
      <c r="K152" s="9">
        <v>188</v>
      </c>
      <c r="L152" s="9">
        <v>2026</v>
      </c>
      <c r="M152" s="8" t="s">
        <v>1039</v>
      </c>
      <c r="N152" s="8" t="s">
        <v>41</v>
      </c>
      <c r="O152" s="8" t="s">
        <v>42</v>
      </c>
      <c r="P152" s="6" t="s">
        <v>67</v>
      </c>
      <c r="Q152" s="8" t="s">
        <v>1040</v>
      </c>
      <c r="R152" s="10" t="s">
        <v>1041</v>
      </c>
      <c r="S152" s="11"/>
      <c r="T152" s="6"/>
      <c r="U152" s="14" t="str">
        <f>HYPERLINK("https://media.infra-m.ru/2222/2222247/cover/2222247.jpg", "Обложка")</f>
        <v>Обложка</v>
      </c>
      <c r="V152" s="14" t="str">
        <f>HYPERLINK("https://znanium.ru/catalog/product/1841030", "Ознакомиться")</f>
        <v>Ознакомиться</v>
      </c>
      <c r="W152" s="8" t="s">
        <v>175</v>
      </c>
      <c r="X152" s="6"/>
      <c r="Y152" s="6"/>
      <c r="Z152" s="6"/>
      <c r="AA152" s="6" t="s">
        <v>71</v>
      </c>
      <c r="AB152" s="8"/>
    </row>
    <row r="153" spans="1:28" s="4" customFormat="1" ht="51.95" customHeight="1" x14ac:dyDescent="0.2">
      <c r="A153" s="5">
        <v>0</v>
      </c>
      <c r="B153" s="6" t="s">
        <v>1042</v>
      </c>
      <c r="C153" s="13">
        <v>930</v>
      </c>
      <c r="D153" s="8" t="s">
        <v>1043</v>
      </c>
      <c r="E153" s="8" t="s">
        <v>1044</v>
      </c>
      <c r="F153" s="8" t="s">
        <v>1045</v>
      </c>
      <c r="G153" s="6" t="s">
        <v>38</v>
      </c>
      <c r="H153" s="6" t="s">
        <v>39</v>
      </c>
      <c r="I153" s="8" t="s">
        <v>76</v>
      </c>
      <c r="J153" s="9">
        <v>1</v>
      </c>
      <c r="K153" s="9">
        <v>127</v>
      </c>
      <c r="L153" s="9">
        <v>2026</v>
      </c>
      <c r="M153" s="8" t="s">
        <v>1046</v>
      </c>
      <c r="N153" s="8" t="s">
        <v>41</v>
      </c>
      <c r="O153" s="8" t="s">
        <v>42</v>
      </c>
      <c r="P153" s="6" t="s">
        <v>56</v>
      </c>
      <c r="Q153" s="8" t="s">
        <v>44</v>
      </c>
      <c r="R153" s="10" t="s">
        <v>1047</v>
      </c>
      <c r="S153" s="11"/>
      <c r="T153" s="6"/>
      <c r="U153" s="14" t="str">
        <f>HYPERLINK("https://media.infra-m.ru/2221/2221298/cover/2221298.jpg", "Обложка")</f>
        <v>Обложка</v>
      </c>
      <c r="V153" s="14" t="str">
        <f>HYPERLINK("https://znanium.ru/catalog/product/2221298", "Ознакомиться")</f>
        <v>Ознакомиться</v>
      </c>
      <c r="W153" s="8"/>
      <c r="X153" s="6" t="s">
        <v>199</v>
      </c>
      <c r="Y153" s="6"/>
      <c r="Z153" s="6"/>
      <c r="AA153" s="6" t="s">
        <v>200</v>
      </c>
      <c r="AB153" s="8"/>
    </row>
    <row r="154" spans="1:28" s="4" customFormat="1" ht="51.95" customHeight="1" x14ac:dyDescent="0.2">
      <c r="A154" s="5">
        <v>0</v>
      </c>
      <c r="B154" s="6" t="s">
        <v>1048</v>
      </c>
      <c r="C154" s="7">
        <v>3164</v>
      </c>
      <c r="D154" s="8" t="s">
        <v>1049</v>
      </c>
      <c r="E154" s="8" t="s">
        <v>1050</v>
      </c>
      <c r="F154" s="8" t="s">
        <v>1051</v>
      </c>
      <c r="G154" s="6" t="s">
        <v>38</v>
      </c>
      <c r="H154" s="6" t="s">
        <v>39</v>
      </c>
      <c r="I154" s="8" t="s">
        <v>283</v>
      </c>
      <c r="J154" s="9">
        <v>1</v>
      </c>
      <c r="K154" s="9">
        <v>634</v>
      </c>
      <c r="L154" s="9">
        <v>2025</v>
      </c>
      <c r="M154" s="8" t="s">
        <v>1052</v>
      </c>
      <c r="N154" s="8" t="s">
        <v>41</v>
      </c>
      <c r="O154" s="8" t="s">
        <v>42</v>
      </c>
      <c r="P154" s="6" t="s">
        <v>131</v>
      </c>
      <c r="Q154" s="8" t="s">
        <v>87</v>
      </c>
      <c r="R154" s="10" t="s">
        <v>1053</v>
      </c>
      <c r="S154" s="11" t="s">
        <v>1054</v>
      </c>
      <c r="T154" s="6" t="s">
        <v>453</v>
      </c>
      <c r="U154" s="14" t="str">
        <f>HYPERLINK("https://media.infra-m.ru/2164/2164039/cover/2164039.jpg", "Обложка")</f>
        <v>Обложка</v>
      </c>
      <c r="V154" s="14" t="str">
        <f>HYPERLINK("https://znanium.ru/catalog/product/1047183", "Ознакомиться")</f>
        <v>Ознакомиться</v>
      </c>
      <c r="W154" s="8" t="s">
        <v>1055</v>
      </c>
      <c r="X154" s="6"/>
      <c r="Y154" s="6"/>
      <c r="Z154" s="6"/>
      <c r="AA154" s="6" t="s">
        <v>549</v>
      </c>
      <c r="AB154" s="8"/>
    </row>
    <row r="155" spans="1:28" s="4" customFormat="1" ht="51.95" customHeight="1" x14ac:dyDescent="0.2">
      <c r="A155" s="5">
        <v>0</v>
      </c>
      <c r="B155" s="6" t="s">
        <v>1056</v>
      </c>
      <c r="C155" s="13">
        <v>914</v>
      </c>
      <c r="D155" s="8" t="s">
        <v>1057</v>
      </c>
      <c r="E155" s="8" t="s">
        <v>1058</v>
      </c>
      <c r="F155" s="8" t="s">
        <v>1059</v>
      </c>
      <c r="G155" s="6" t="s">
        <v>53</v>
      </c>
      <c r="H155" s="6" t="s">
        <v>39</v>
      </c>
      <c r="I155" s="8" t="s">
        <v>54</v>
      </c>
      <c r="J155" s="9">
        <v>1</v>
      </c>
      <c r="K155" s="9">
        <v>173</v>
      </c>
      <c r="L155" s="9">
        <v>2026</v>
      </c>
      <c r="M155" s="8" t="s">
        <v>1060</v>
      </c>
      <c r="N155" s="8" t="s">
        <v>41</v>
      </c>
      <c r="O155" s="8" t="s">
        <v>42</v>
      </c>
      <c r="P155" s="6" t="s">
        <v>56</v>
      </c>
      <c r="Q155" s="8" t="s">
        <v>87</v>
      </c>
      <c r="R155" s="10" t="s">
        <v>97</v>
      </c>
      <c r="S155" s="11" t="s">
        <v>1061</v>
      </c>
      <c r="T155" s="6"/>
      <c r="U155" s="14" t="str">
        <f>HYPERLINK("https://media.infra-m.ru/2218/2218872/cover/2218872.jpg", "Обложка")</f>
        <v>Обложка</v>
      </c>
      <c r="V155" s="14" t="str">
        <f>HYPERLINK("https://znanium.ru/catalog/product/2125012", "Ознакомиться")</f>
        <v>Ознакомиться</v>
      </c>
      <c r="W155" s="8" t="s">
        <v>926</v>
      </c>
      <c r="X155" s="6"/>
      <c r="Y155" s="6"/>
      <c r="Z155" s="6"/>
      <c r="AA155" s="6" t="s">
        <v>125</v>
      </c>
      <c r="AB155" s="8"/>
    </row>
    <row r="156" spans="1:28" s="4" customFormat="1" ht="51.95" customHeight="1" x14ac:dyDescent="0.2">
      <c r="A156" s="5">
        <v>0</v>
      </c>
      <c r="B156" s="6" t="s">
        <v>1062</v>
      </c>
      <c r="C156" s="13">
        <v>904</v>
      </c>
      <c r="D156" s="8" t="s">
        <v>1063</v>
      </c>
      <c r="E156" s="8" t="s">
        <v>1064</v>
      </c>
      <c r="F156" s="8" t="s">
        <v>917</v>
      </c>
      <c r="G156" s="6" t="s">
        <v>53</v>
      </c>
      <c r="H156" s="6" t="s">
        <v>39</v>
      </c>
      <c r="I156" s="8" t="s">
        <v>336</v>
      </c>
      <c r="J156" s="9">
        <v>1</v>
      </c>
      <c r="K156" s="9">
        <v>196</v>
      </c>
      <c r="L156" s="9">
        <v>2023</v>
      </c>
      <c r="M156" s="8" t="s">
        <v>1065</v>
      </c>
      <c r="N156" s="8" t="s">
        <v>41</v>
      </c>
      <c r="O156" s="8" t="s">
        <v>42</v>
      </c>
      <c r="P156" s="6" t="s">
        <v>56</v>
      </c>
      <c r="Q156" s="8" t="s">
        <v>87</v>
      </c>
      <c r="R156" s="10" t="s">
        <v>1066</v>
      </c>
      <c r="S156" s="11" t="s">
        <v>919</v>
      </c>
      <c r="T156" s="6"/>
      <c r="U156" s="14" t="str">
        <f>HYPERLINK("https://media.infra-m.ru/2058/2058759/cover/2058759.jpg", "Обложка")</f>
        <v>Обложка</v>
      </c>
      <c r="V156" s="14" t="str">
        <f>HYPERLINK("https://znanium.ru/catalog/product/1911105", "Ознакомиться")</f>
        <v>Ознакомиться</v>
      </c>
      <c r="W156" s="8" t="s">
        <v>114</v>
      </c>
      <c r="X156" s="6"/>
      <c r="Y156" s="6"/>
      <c r="Z156" s="6"/>
      <c r="AA156" s="6" t="s">
        <v>115</v>
      </c>
      <c r="AB156" s="8"/>
    </row>
    <row r="157" spans="1:28" s="4" customFormat="1" ht="51.95" customHeight="1" x14ac:dyDescent="0.2">
      <c r="A157" s="5">
        <v>0</v>
      </c>
      <c r="B157" s="6" t="s">
        <v>1067</v>
      </c>
      <c r="C157" s="7">
        <v>1740</v>
      </c>
      <c r="D157" s="8" t="s">
        <v>1068</v>
      </c>
      <c r="E157" s="8" t="s">
        <v>1069</v>
      </c>
      <c r="F157" s="8" t="s">
        <v>1070</v>
      </c>
      <c r="G157" s="6" t="s">
        <v>38</v>
      </c>
      <c r="H157" s="6" t="s">
        <v>39</v>
      </c>
      <c r="I157" s="8" t="s">
        <v>139</v>
      </c>
      <c r="J157" s="9">
        <v>1</v>
      </c>
      <c r="K157" s="9">
        <v>298</v>
      </c>
      <c r="L157" s="9">
        <v>2026</v>
      </c>
      <c r="M157" s="8" t="s">
        <v>1071</v>
      </c>
      <c r="N157" s="8" t="s">
        <v>41</v>
      </c>
      <c r="O157" s="8" t="s">
        <v>42</v>
      </c>
      <c r="P157" s="6" t="s">
        <v>131</v>
      </c>
      <c r="Q157" s="8" t="s">
        <v>141</v>
      </c>
      <c r="R157" s="10" t="s">
        <v>1072</v>
      </c>
      <c r="S157" s="11"/>
      <c r="T157" s="6"/>
      <c r="U157" s="14" t="str">
        <f>HYPERLINK("https://media.infra-m.ru/2192/2192604/cover/2192604.jpg", "Обложка")</f>
        <v>Обложка</v>
      </c>
      <c r="V157" s="14" t="str">
        <f>HYPERLINK("https://znanium.ru/catalog/product/2192604", "Ознакомиться")</f>
        <v>Ознакомиться</v>
      </c>
      <c r="W157" s="8" t="s">
        <v>508</v>
      </c>
      <c r="X157" s="6" t="s">
        <v>1073</v>
      </c>
      <c r="Y157" s="6"/>
      <c r="Z157" s="6"/>
      <c r="AA157" s="6" t="s">
        <v>200</v>
      </c>
      <c r="AB157" s="8"/>
    </row>
    <row r="158" spans="1:28" s="4" customFormat="1" ht="51.95" customHeight="1" x14ac:dyDescent="0.2">
      <c r="A158" s="5">
        <v>0</v>
      </c>
      <c r="B158" s="6" t="s">
        <v>1074</v>
      </c>
      <c r="C158" s="7">
        <v>1784</v>
      </c>
      <c r="D158" s="8" t="s">
        <v>1075</v>
      </c>
      <c r="E158" s="8" t="s">
        <v>1076</v>
      </c>
      <c r="F158" s="8" t="s">
        <v>1077</v>
      </c>
      <c r="G158" s="6" t="s">
        <v>53</v>
      </c>
      <c r="H158" s="6" t="s">
        <v>39</v>
      </c>
      <c r="I158" s="8" t="s">
        <v>139</v>
      </c>
      <c r="J158" s="9">
        <v>1</v>
      </c>
      <c r="K158" s="9">
        <v>344</v>
      </c>
      <c r="L158" s="9">
        <v>2025</v>
      </c>
      <c r="M158" s="8" t="s">
        <v>1078</v>
      </c>
      <c r="N158" s="8" t="s">
        <v>41</v>
      </c>
      <c r="O158" s="8" t="s">
        <v>42</v>
      </c>
      <c r="P158" s="6" t="s">
        <v>131</v>
      </c>
      <c r="Q158" s="8" t="s">
        <v>141</v>
      </c>
      <c r="R158" s="10" t="s">
        <v>1079</v>
      </c>
      <c r="S158" s="11" t="s">
        <v>1080</v>
      </c>
      <c r="T158" s="6"/>
      <c r="U158" s="14" t="str">
        <f>HYPERLINK("https://media.infra-m.ru/2199/2199769/cover/2199769.jpg", "Обложка")</f>
        <v>Обложка</v>
      </c>
      <c r="V158" s="14" t="str">
        <f>HYPERLINK("https://znanium.ru/catalog/product/2033536", "Ознакомиться")</f>
        <v>Ознакомиться</v>
      </c>
      <c r="W158" s="8" t="s">
        <v>159</v>
      </c>
      <c r="X158" s="6"/>
      <c r="Y158" s="6"/>
      <c r="Z158" s="6"/>
      <c r="AA158" s="6" t="s">
        <v>405</v>
      </c>
      <c r="AB158" s="8"/>
    </row>
    <row r="159" spans="1:28" s="4" customFormat="1" ht="51.95" customHeight="1" x14ac:dyDescent="0.2">
      <c r="A159" s="5">
        <v>0</v>
      </c>
      <c r="B159" s="6" t="s">
        <v>1081</v>
      </c>
      <c r="C159" s="7">
        <v>3400</v>
      </c>
      <c r="D159" s="8" t="s">
        <v>1082</v>
      </c>
      <c r="E159" s="8" t="s">
        <v>1083</v>
      </c>
      <c r="F159" s="8" t="s">
        <v>897</v>
      </c>
      <c r="G159" s="6" t="s">
        <v>38</v>
      </c>
      <c r="H159" s="6" t="s">
        <v>39</v>
      </c>
      <c r="I159" s="8" t="s">
        <v>54</v>
      </c>
      <c r="J159" s="9">
        <v>1</v>
      </c>
      <c r="K159" s="9">
        <v>660</v>
      </c>
      <c r="L159" s="9">
        <v>2026</v>
      </c>
      <c r="M159" s="8" t="s">
        <v>1084</v>
      </c>
      <c r="N159" s="8" t="s">
        <v>1085</v>
      </c>
      <c r="O159" s="8" t="s">
        <v>1086</v>
      </c>
      <c r="P159" s="6" t="s">
        <v>131</v>
      </c>
      <c r="Q159" s="8" t="s">
        <v>44</v>
      </c>
      <c r="R159" s="10" t="s">
        <v>1087</v>
      </c>
      <c r="S159" s="11" t="s">
        <v>1088</v>
      </c>
      <c r="T159" s="6" t="s">
        <v>453</v>
      </c>
      <c r="U159" s="14" t="str">
        <f>HYPERLINK("https://media.infra-m.ru/2219/2219323/cover/2219323.jpg", "Обложка")</f>
        <v>Обложка</v>
      </c>
      <c r="V159" s="14" t="str">
        <f>HYPERLINK("https://znanium.ru/catalog/product/2219323", "Ознакомиться")</f>
        <v>Ознакомиться</v>
      </c>
      <c r="W159" s="8" t="s">
        <v>159</v>
      </c>
      <c r="X159" s="6"/>
      <c r="Y159" s="6"/>
      <c r="Z159" s="6"/>
      <c r="AA159" s="6" t="s">
        <v>787</v>
      </c>
      <c r="AB159" s="8"/>
    </row>
    <row r="160" spans="1:28" s="4" customFormat="1" ht="51.95" customHeight="1" x14ac:dyDescent="0.2">
      <c r="A160" s="5">
        <v>0</v>
      </c>
      <c r="B160" s="6" t="s">
        <v>1089</v>
      </c>
      <c r="C160" s="7">
        <v>3300</v>
      </c>
      <c r="D160" s="8" t="s">
        <v>1090</v>
      </c>
      <c r="E160" s="8" t="s">
        <v>1083</v>
      </c>
      <c r="F160" s="8" t="s">
        <v>897</v>
      </c>
      <c r="G160" s="6" t="s">
        <v>38</v>
      </c>
      <c r="H160" s="6" t="s">
        <v>39</v>
      </c>
      <c r="I160" s="8" t="s">
        <v>283</v>
      </c>
      <c r="J160" s="9">
        <v>1</v>
      </c>
      <c r="K160" s="9">
        <v>660</v>
      </c>
      <c r="L160" s="9">
        <v>2025</v>
      </c>
      <c r="M160" s="8" t="s">
        <v>1091</v>
      </c>
      <c r="N160" s="8" t="s">
        <v>1085</v>
      </c>
      <c r="O160" s="8" t="s">
        <v>1086</v>
      </c>
      <c r="P160" s="6" t="s">
        <v>131</v>
      </c>
      <c r="Q160" s="8" t="s">
        <v>87</v>
      </c>
      <c r="R160" s="10" t="s">
        <v>1092</v>
      </c>
      <c r="S160" s="11" t="s">
        <v>1093</v>
      </c>
      <c r="T160" s="6" t="s">
        <v>453</v>
      </c>
      <c r="U160" s="14" t="str">
        <f>HYPERLINK("https://media.infra-m.ru/2170/2170628/cover/2170628.jpg", "Обложка")</f>
        <v>Обложка</v>
      </c>
      <c r="V160" s="14" t="str">
        <f>HYPERLINK("https://znanium.ru/catalog/product/2170628", "Ознакомиться")</f>
        <v>Ознакомиться</v>
      </c>
      <c r="W160" s="8" t="s">
        <v>159</v>
      </c>
      <c r="X160" s="6"/>
      <c r="Y160" s="6"/>
      <c r="Z160" s="6" t="s">
        <v>1094</v>
      </c>
      <c r="AA160" s="6" t="s">
        <v>787</v>
      </c>
      <c r="AB160" s="8"/>
    </row>
    <row r="161" spans="1:28" s="4" customFormat="1" ht="42" customHeight="1" x14ac:dyDescent="0.2">
      <c r="A161" s="5">
        <v>0</v>
      </c>
      <c r="B161" s="6" t="s">
        <v>1095</v>
      </c>
      <c r="C161" s="7">
        <v>4899</v>
      </c>
      <c r="D161" s="8" t="s">
        <v>1096</v>
      </c>
      <c r="E161" s="8" t="s">
        <v>1097</v>
      </c>
      <c r="F161" s="8" t="s">
        <v>1098</v>
      </c>
      <c r="G161" s="6" t="s">
        <v>38</v>
      </c>
      <c r="H161" s="6" t="s">
        <v>39</v>
      </c>
      <c r="I161" s="8" t="s">
        <v>54</v>
      </c>
      <c r="J161" s="9">
        <v>1</v>
      </c>
      <c r="K161" s="9">
        <v>460</v>
      </c>
      <c r="L161" s="9">
        <v>2025</v>
      </c>
      <c r="M161" s="8" t="s">
        <v>1099</v>
      </c>
      <c r="N161" s="8" t="s">
        <v>41</v>
      </c>
      <c r="O161" s="8" t="s">
        <v>42</v>
      </c>
      <c r="P161" s="6" t="s">
        <v>131</v>
      </c>
      <c r="Q161" s="8" t="s">
        <v>44</v>
      </c>
      <c r="R161" s="10" t="s">
        <v>1100</v>
      </c>
      <c r="S161" s="11"/>
      <c r="T161" s="6"/>
      <c r="U161" s="14" t="str">
        <f>HYPERLINK("https://media.infra-m.ru/2198/2198519/cover/2198519.jpg", "Обложка")</f>
        <v>Обложка</v>
      </c>
      <c r="V161" s="14" t="str">
        <f>HYPERLINK("https://znanium.ru/catalog/product/2198519", "Ознакомиться")</f>
        <v>Ознакомиться</v>
      </c>
      <c r="W161" s="8" t="s">
        <v>159</v>
      </c>
      <c r="X161" s="6" t="s">
        <v>1073</v>
      </c>
      <c r="Y161" s="6"/>
      <c r="Z161" s="6"/>
      <c r="AA161" s="6" t="s">
        <v>81</v>
      </c>
      <c r="AB161" s="8"/>
    </row>
    <row r="162" spans="1:28" s="4" customFormat="1" ht="51.95" customHeight="1" x14ac:dyDescent="0.2">
      <c r="A162" s="5">
        <v>0</v>
      </c>
      <c r="B162" s="6" t="s">
        <v>1101</v>
      </c>
      <c r="C162" s="13">
        <v>500</v>
      </c>
      <c r="D162" s="8" t="s">
        <v>1102</v>
      </c>
      <c r="E162" s="8" t="s">
        <v>1103</v>
      </c>
      <c r="F162" s="8" t="s">
        <v>1104</v>
      </c>
      <c r="G162" s="6" t="s">
        <v>64</v>
      </c>
      <c r="H162" s="6" t="s">
        <v>39</v>
      </c>
      <c r="I162" s="8" t="s">
        <v>283</v>
      </c>
      <c r="J162" s="9">
        <v>1</v>
      </c>
      <c r="K162" s="9">
        <v>96</v>
      </c>
      <c r="L162" s="9">
        <v>2023</v>
      </c>
      <c r="M162" s="8" t="s">
        <v>1105</v>
      </c>
      <c r="N162" s="8" t="s">
        <v>41</v>
      </c>
      <c r="O162" s="8" t="s">
        <v>42</v>
      </c>
      <c r="P162" s="6" t="s">
        <v>56</v>
      </c>
      <c r="Q162" s="8" t="s">
        <v>87</v>
      </c>
      <c r="R162" s="10" t="s">
        <v>1106</v>
      </c>
      <c r="S162" s="11" t="s">
        <v>1107</v>
      </c>
      <c r="T162" s="6"/>
      <c r="U162" s="14" t="str">
        <f>HYPERLINK("https://media.infra-m.ru/1912/1912986/cover/1912986.jpg", "Обложка")</f>
        <v>Обложка</v>
      </c>
      <c r="V162" s="14" t="str">
        <f>HYPERLINK("https://znanium.ru/catalog/product/1912986", "Ознакомиться")</f>
        <v>Ознакомиться</v>
      </c>
      <c r="W162" s="8" t="s">
        <v>219</v>
      </c>
      <c r="X162" s="6"/>
      <c r="Y162" s="6"/>
      <c r="Z162" s="6"/>
      <c r="AA162" s="6" t="s">
        <v>107</v>
      </c>
      <c r="AB162" s="8"/>
    </row>
    <row r="163" spans="1:28" s="4" customFormat="1" ht="51.95" customHeight="1" x14ac:dyDescent="0.2">
      <c r="A163" s="5">
        <v>0</v>
      </c>
      <c r="B163" s="6" t="s">
        <v>1108</v>
      </c>
      <c r="C163" s="7">
        <v>1710</v>
      </c>
      <c r="D163" s="8" t="s">
        <v>1109</v>
      </c>
      <c r="E163" s="8" t="s">
        <v>1110</v>
      </c>
      <c r="F163" s="8" t="s">
        <v>1111</v>
      </c>
      <c r="G163" s="6" t="s">
        <v>38</v>
      </c>
      <c r="H163" s="6" t="s">
        <v>39</v>
      </c>
      <c r="I163" s="8" t="s">
        <v>54</v>
      </c>
      <c r="J163" s="9">
        <v>1</v>
      </c>
      <c r="K163" s="9">
        <v>335</v>
      </c>
      <c r="L163" s="9">
        <v>2024</v>
      </c>
      <c r="M163" s="8" t="s">
        <v>1112</v>
      </c>
      <c r="N163" s="8" t="s">
        <v>41</v>
      </c>
      <c r="O163" s="8" t="s">
        <v>42</v>
      </c>
      <c r="P163" s="6" t="s">
        <v>56</v>
      </c>
      <c r="Q163" s="8" t="s">
        <v>44</v>
      </c>
      <c r="R163" s="10" t="s">
        <v>1113</v>
      </c>
      <c r="S163" s="11"/>
      <c r="T163" s="6"/>
      <c r="U163" s="14" t="str">
        <f>HYPERLINK("https://media.infra-m.ru/2125/2125936/cover/2125936.jpg", "Обложка")</f>
        <v>Обложка</v>
      </c>
      <c r="V163" s="14" t="str">
        <f>HYPERLINK("https://znanium.ru/catalog/product/2125936", "Ознакомиться")</f>
        <v>Ознакомиться</v>
      </c>
      <c r="W163" s="8" t="s">
        <v>777</v>
      </c>
      <c r="X163" s="6"/>
      <c r="Y163" s="6"/>
      <c r="Z163" s="6"/>
      <c r="AA163" s="6" t="s">
        <v>48</v>
      </c>
      <c r="AB163" s="8"/>
    </row>
    <row r="164" spans="1:28" s="4" customFormat="1" ht="51.95" customHeight="1" x14ac:dyDescent="0.2">
      <c r="A164" s="5">
        <v>0</v>
      </c>
      <c r="B164" s="6" t="s">
        <v>1114</v>
      </c>
      <c r="C164" s="7">
        <v>1794</v>
      </c>
      <c r="D164" s="8" t="s">
        <v>1115</v>
      </c>
      <c r="E164" s="8" t="s">
        <v>1116</v>
      </c>
      <c r="F164" s="8" t="s">
        <v>1117</v>
      </c>
      <c r="G164" s="6" t="s">
        <v>38</v>
      </c>
      <c r="H164" s="6" t="s">
        <v>39</v>
      </c>
      <c r="I164" s="8" t="s">
        <v>139</v>
      </c>
      <c r="J164" s="9">
        <v>1</v>
      </c>
      <c r="K164" s="9">
        <v>359</v>
      </c>
      <c r="L164" s="9">
        <v>2025</v>
      </c>
      <c r="M164" s="8" t="s">
        <v>1118</v>
      </c>
      <c r="N164" s="8" t="s">
        <v>41</v>
      </c>
      <c r="O164" s="8" t="s">
        <v>42</v>
      </c>
      <c r="P164" s="6" t="s">
        <v>56</v>
      </c>
      <c r="Q164" s="8" t="s">
        <v>141</v>
      </c>
      <c r="R164" s="10" t="s">
        <v>1119</v>
      </c>
      <c r="S164" s="11" t="s">
        <v>1120</v>
      </c>
      <c r="T164" s="6"/>
      <c r="U164" s="14" t="str">
        <f>HYPERLINK("https://media.infra-m.ru/2160/2160901/cover/2160901.jpg", "Обложка")</f>
        <v>Обложка</v>
      </c>
      <c r="V164" s="14" t="str">
        <f>HYPERLINK("https://znanium.ru/catalog/product/1088341", "Ознакомиться")</f>
        <v>Ознакомиться</v>
      </c>
      <c r="W164" s="8" t="s">
        <v>1121</v>
      </c>
      <c r="X164" s="6"/>
      <c r="Y164" s="6"/>
      <c r="Z164" s="6" t="s">
        <v>144</v>
      </c>
      <c r="AA164" s="6" t="s">
        <v>330</v>
      </c>
      <c r="AB164" s="8"/>
    </row>
    <row r="165" spans="1:28" s="4" customFormat="1" ht="51.95" customHeight="1" x14ac:dyDescent="0.2">
      <c r="A165" s="5">
        <v>0</v>
      </c>
      <c r="B165" s="6" t="s">
        <v>1122</v>
      </c>
      <c r="C165" s="7">
        <v>1694</v>
      </c>
      <c r="D165" s="8" t="s">
        <v>1123</v>
      </c>
      <c r="E165" s="8" t="s">
        <v>1116</v>
      </c>
      <c r="F165" s="8" t="s">
        <v>1124</v>
      </c>
      <c r="G165" s="6" t="s">
        <v>38</v>
      </c>
      <c r="H165" s="6" t="s">
        <v>350</v>
      </c>
      <c r="I165" s="8" t="s">
        <v>661</v>
      </c>
      <c r="J165" s="9">
        <v>1</v>
      </c>
      <c r="K165" s="9">
        <v>360</v>
      </c>
      <c r="L165" s="9">
        <v>2024</v>
      </c>
      <c r="M165" s="8" t="s">
        <v>1125</v>
      </c>
      <c r="N165" s="8" t="s">
        <v>41</v>
      </c>
      <c r="O165" s="8" t="s">
        <v>42</v>
      </c>
      <c r="P165" s="6" t="s">
        <v>56</v>
      </c>
      <c r="Q165" s="8" t="s">
        <v>121</v>
      </c>
      <c r="R165" s="10" t="s">
        <v>1126</v>
      </c>
      <c r="S165" s="11" t="s">
        <v>1127</v>
      </c>
      <c r="T165" s="6"/>
      <c r="U165" s="14" t="str">
        <f>HYPERLINK("https://media.infra-m.ru/2115/2115273/cover/2115273.jpg", "Обложка")</f>
        <v>Обложка</v>
      </c>
      <c r="V165" s="14" t="str">
        <f>HYPERLINK("https://znanium.ru/catalog/product/1941747", "Ознакомиться")</f>
        <v>Ознакомиться</v>
      </c>
      <c r="W165" s="8" t="s">
        <v>1121</v>
      </c>
      <c r="X165" s="6"/>
      <c r="Y165" s="6"/>
      <c r="Z165" s="6"/>
      <c r="AA165" s="6" t="s">
        <v>135</v>
      </c>
      <c r="AB165" s="8"/>
    </row>
    <row r="166" spans="1:28" s="4" customFormat="1" ht="51.95" customHeight="1" x14ac:dyDescent="0.2">
      <c r="A166" s="5">
        <v>0</v>
      </c>
      <c r="B166" s="6" t="s">
        <v>1128</v>
      </c>
      <c r="C166" s="7">
        <v>1404</v>
      </c>
      <c r="D166" s="8" t="s">
        <v>1129</v>
      </c>
      <c r="E166" s="8" t="s">
        <v>1130</v>
      </c>
      <c r="F166" s="8" t="s">
        <v>1131</v>
      </c>
      <c r="G166" s="6" t="s">
        <v>53</v>
      </c>
      <c r="H166" s="6" t="s">
        <v>39</v>
      </c>
      <c r="I166" s="8" t="s">
        <v>661</v>
      </c>
      <c r="J166" s="9">
        <v>1</v>
      </c>
      <c r="K166" s="9">
        <v>280</v>
      </c>
      <c r="L166" s="9">
        <v>2025</v>
      </c>
      <c r="M166" s="8" t="s">
        <v>1132</v>
      </c>
      <c r="N166" s="8" t="s">
        <v>41</v>
      </c>
      <c r="O166" s="8" t="s">
        <v>42</v>
      </c>
      <c r="P166" s="6" t="s">
        <v>56</v>
      </c>
      <c r="Q166" s="8" t="s">
        <v>121</v>
      </c>
      <c r="R166" s="10" t="s">
        <v>1133</v>
      </c>
      <c r="S166" s="11" t="s">
        <v>1134</v>
      </c>
      <c r="T166" s="6"/>
      <c r="U166" s="14" t="str">
        <f>HYPERLINK("https://media.infra-m.ru/2181/2181551/cover/2181551.jpg", "Обложка")</f>
        <v>Обложка</v>
      </c>
      <c r="V166" s="14" t="str">
        <f>HYPERLINK("https://znanium.ru/catalog/product/2175128", "Ознакомиться")</f>
        <v>Ознакомиться</v>
      </c>
      <c r="W166" s="8"/>
      <c r="X166" s="6"/>
      <c r="Y166" s="6"/>
      <c r="Z166" s="6"/>
      <c r="AA166" s="6" t="s">
        <v>135</v>
      </c>
      <c r="AB166" s="8"/>
    </row>
    <row r="167" spans="1:28" s="4" customFormat="1" ht="51.95" customHeight="1" x14ac:dyDescent="0.2">
      <c r="A167" s="5">
        <v>0</v>
      </c>
      <c r="B167" s="6" t="s">
        <v>1135</v>
      </c>
      <c r="C167" s="7">
        <v>1064</v>
      </c>
      <c r="D167" s="8" t="s">
        <v>1136</v>
      </c>
      <c r="E167" s="8" t="s">
        <v>1137</v>
      </c>
      <c r="F167" s="8" t="s">
        <v>1138</v>
      </c>
      <c r="G167" s="6" t="s">
        <v>53</v>
      </c>
      <c r="H167" s="6" t="s">
        <v>39</v>
      </c>
      <c r="I167" s="8" t="s">
        <v>661</v>
      </c>
      <c r="J167" s="9">
        <v>1</v>
      </c>
      <c r="K167" s="9">
        <v>205</v>
      </c>
      <c r="L167" s="9">
        <v>2025</v>
      </c>
      <c r="M167" s="8" t="s">
        <v>1139</v>
      </c>
      <c r="N167" s="8" t="s">
        <v>41</v>
      </c>
      <c r="O167" s="8" t="s">
        <v>42</v>
      </c>
      <c r="P167" s="6" t="s">
        <v>56</v>
      </c>
      <c r="Q167" s="8" t="s">
        <v>121</v>
      </c>
      <c r="R167" s="10" t="s">
        <v>1140</v>
      </c>
      <c r="S167" s="11" t="s">
        <v>1141</v>
      </c>
      <c r="T167" s="6"/>
      <c r="U167" s="14" t="str">
        <f>HYPERLINK("https://media.infra-m.ru/2196/2196964/cover/2196964.jpg", "Обложка")</f>
        <v>Обложка</v>
      </c>
      <c r="V167" s="14" t="str">
        <f>HYPERLINK("https://znanium.ru/catalog/product/1080998", "Ознакомиться")</f>
        <v>Ознакомиться</v>
      </c>
      <c r="W167" s="8"/>
      <c r="X167" s="6"/>
      <c r="Y167" s="6"/>
      <c r="Z167" s="6"/>
      <c r="AA167" s="6" t="s">
        <v>125</v>
      </c>
      <c r="AB167" s="8"/>
    </row>
    <row r="168" spans="1:28" s="4" customFormat="1" ht="51.95" customHeight="1" x14ac:dyDescent="0.2">
      <c r="A168" s="5">
        <v>0</v>
      </c>
      <c r="B168" s="6" t="s">
        <v>1142</v>
      </c>
      <c r="C168" s="7">
        <v>1010</v>
      </c>
      <c r="D168" s="8" t="s">
        <v>1143</v>
      </c>
      <c r="E168" s="8" t="s">
        <v>1144</v>
      </c>
      <c r="F168" s="8" t="s">
        <v>1145</v>
      </c>
      <c r="G168" s="6" t="s">
        <v>38</v>
      </c>
      <c r="H168" s="6" t="s">
        <v>39</v>
      </c>
      <c r="I168" s="8" t="s">
        <v>103</v>
      </c>
      <c r="J168" s="9">
        <v>1</v>
      </c>
      <c r="K168" s="9">
        <v>207</v>
      </c>
      <c r="L168" s="9">
        <v>2024</v>
      </c>
      <c r="M168" s="8" t="s">
        <v>1146</v>
      </c>
      <c r="N168" s="8" t="s">
        <v>41</v>
      </c>
      <c r="O168" s="8" t="s">
        <v>42</v>
      </c>
      <c r="P168" s="6" t="s">
        <v>105</v>
      </c>
      <c r="Q168" s="8" t="s">
        <v>106</v>
      </c>
      <c r="R168" s="10" t="s">
        <v>1147</v>
      </c>
      <c r="S168" s="11"/>
      <c r="T168" s="6"/>
      <c r="U168" s="14" t="str">
        <f>HYPERLINK("https://media.infra-m.ru/2063/2063441/cover/2063441.jpg", "Обложка")</f>
        <v>Обложка</v>
      </c>
      <c r="V168" s="14" t="str">
        <f>HYPERLINK("https://znanium.ru/catalog/product/2063441", "Ознакомиться")</f>
        <v>Ознакомиться</v>
      </c>
      <c r="W168" s="8" t="s">
        <v>1148</v>
      </c>
      <c r="X168" s="6"/>
      <c r="Y168" s="6"/>
      <c r="Z168" s="6"/>
      <c r="AA168" s="6" t="s">
        <v>48</v>
      </c>
      <c r="AB168" s="8"/>
    </row>
    <row r="169" spans="1:28" s="4" customFormat="1" ht="51.95" customHeight="1" x14ac:dyDescent="0.2">
      <c r="A169" s="5">
        <v>0</v>
      </c>
      <c r="B169" s="6" t="s">
        <v>1149</v>
      </c>
      <c r="C169" s="13">
        <v>564</v>
      </c>
      <c r="D169" s="8" t="s">
        <v>1150</v>
      </c>
      <c r="E169" s="8" t="s">
        <v>1151</v>
      </c>
      <c r="F169" s="8" t="s">
        <v>1152</v>
      </c>
      <c r="G169" s="6" t="s">
        <v>64</v>
      </c>
      <c r="H169" s="6" t="s">
        <v>39</v>
      </c>
      <c r="I169" s="8" t="s">
        <v>65</v>
      </c>
      <c r="J169" s="9">
        <v>1</v>
      </c>
      <c r="K169" s="9">
        <v>107</v>
      </c>
      <c r="L169" s="9">
        <v>2025</v>
      </c>
      <c r="M169" s="8" t="s">
        <v>1153</v>
      </c>
      <c r="N169" s="8" t="s">
        <v>41</v>
      </c>
      <c r="O169" s="8" t="s">
        <v>42</v>
      </c>
      <c r="P169" s="6" t="s">
        <v>67</v>
      </c>
      <c r="Q169" s="8" t="s">
        <v>1040</v>
      </c>
      <c r="R169" s="10" t="s">
        <v>1154</v>
      </c>
      <c r="S169" s="11"/>
      <c r="T169" s="6"/>
      <c r="U169" s="14" t="str">
        <f>HYPERLINK("https://media.infra-m.ru/2142/2142177/cover/2142177.jpg", "Обложка")</f>
        <v>Обложка</v>
      </c>
      <c r="V169" s="14" t="str">
        <f>HYPERLINK("https://znanium.ru/catalog/product/1946513", "Ознакомиться")</f>
        <v>Ознакомиться</v>
      </c>
      <c r="W169" s="8" t="s">
        <v>413</v>
      </c>
      <c r="X169" s="6"/>
      <c r="Y169" s="6"/>
      <c r="Z169" s="6"/>
      <c r="AA169" s="6" t="s">
        <v>71</v>
      </c>
      <c r="AB169" s="8"/>
    </row>
    <row r="170" spans="1:28" s="4" customFormat="1" ht="51.95" customHeight="1" x14ac:dyDescent="0.2">
      <c r="A170" s="5">
        <v>0</v>
      </c>
      <c r="B170" s="6" t="s">
        <v>1155</v>
      </c>
      <c r="C170" s="7">
        <v>1179</v>
      </c>
      <c r="D170" s="8" t="s">
        <v>1156</v>
      </c>
      <c r="E170" s="8" t="s">
        <v>1157</v>
      </c>
      <c r="F170" s="8" t="s">
        <v>1158</v>
      </c>
      <c r="G170" s="6" t="s">
        <v>53</v>
      </c>
      <c r="H170" s="6" t="s">
        <v>39</v>
      </c>
      <c r="I170" s="8" t="s">
        <v>283</v>
      </c>
      <c r="J170" s="9">
        <v>1</v>
      </c>
      <c r="K170" s="9">
        <v>207</v>
      </c>
      <c r="L170" s="9">
        <v>2023</v>
      </c>
      <c r="M170" s="8" t="s">
        <v>1159</v>
      </c>
      <c r="N170" s="8" t="s">
        <v>41</v>
      </c>
      <c r="O170" s="8" t="s">
        <v>42</v>
      </c>
      <c r="P170" s="6" t="s">
        <v>56</v>
      </c>
      <c r="Q170" s="8" t="s">
        <v>87</v>
      </c>
      <c r="R170" s="10" t="s">
        <v>1160</v>
      </c>
      <c r="S170" s="11" t="s">
        <v>1161</v>
      </c>
      <c r="T170" s="6"/>
      <c r="U170" s="14" t="str">
        <f>HYPERLINK("https://media.infra-m.ru/2125/2125011/cover/2125011.jpg", "Обложка")</f>
        <v>Обложка</v>
      </c>
      <c r="V170" s="14" t="str">
        <f>HYPERLINK("https://znanium.ru/catalog/product/2125011", "Ознакомиться")</f>
        <v>Ознакомиться</v>
      </c>
      <c r="W170" s="8" t="s">
        <v>361</v>
      </c>
      <c r="X170" s="6"/>
      <c r="Y170" s="6"/>
      <c r="Z170" s="6"/>
      <c r="AA170" s="6" t="s">
        <v>330</v>
      </c>
      <c r="AB170" s="8" t="s">
        <v>817</v>
      </c>
    </row>
    <row r="171" spans="1:28" s="4" customFormat="1" ht="42" customHeight="1" x14ac:dyDescent="0.2">
      <c r="A171" s="5">
        <v>0</v>
      </c>
      <c r="B171" s="6" t="s">
        <v>1162</v>
      </c>
      <c r="C171" s="7">
        <v>1199</v>
      </c>
      <c r="D171" s="8" t="s">
        <v>1163</v>
      </c>
      <c r="E171" s="8" t="s">
        <v>1164</v>
      </c>
      <c r="F171" s="8" t="s">
        <v>963</v>
      </c>
      <c r="G171" s="6" t="s">
        <v>53</v>
      </c>
      <c r="H171" s="6" t="s">
        <v>39</v>
      </c>
      <c r="I171" s="8" t="s">
        <v>103</v>
      </c>
      <c r="J171" s="9">
        <v>1</v>
      </c>
      <c r="K171" s="9">
        <v>191</v>
      </c>
      <c r="L171" s="9">
        <v>2025</v>
      </c>
      <c r="M171" s="8" t="s">
        <v>1165</v>
      </c>
      <c r="N171" s="8" t="s">
        <v>41</v>
      </c>
      <c r="O171" s="8" t="s">
        <v>42</v>
      </c>
      <c r="P171" s="6" t="s">
        <v>105</v>
      </c>
      <c r="Q171" s="8" t="s">
        <v>106</v>
      </c>
      <c r="R171" s="10" t="s">
        <v>198</v>
      </c>
      <c r="S171" s="11"/>
      <c r="T171" s="6"/>
      <c r="U171" s="14" t="str">
        <f>HYPERLINK("https://media.infra-m.ru/2205/2205606/cover/2205606.jpg", "Обложка")</f>
        <v>Обложка</v>
      </c>
      <c r="V171" s="14" t="str">
        <f>HYPERLINK("https://znanium.ru/catalog/product/2205606", "Ознакомиться")</f>
        <v>Ознакомиться</v>
      </c>
      <c r="W171" s="8" t="s">
        <v>361</v>
      </c>
      <c r="X171" s="6"/>
      <c r="Y171" s="6"/>
      <c r="Z171" s="6"/>
      <c r="AA171" s="6" t="s">
        <v>115</v>
      </c>
      <c r="AB171" s="8"/>
    </row>
    <row r="172" spans="1:28" s="4" customFormat="1" ht="51.95" customHeight="1" x14ac:dyDescent="0.2">
      <c r="A172" s="5">
        <v>0</v>
      </c>
      <c r="B172" s="6" t="s">
        <v>1166</v>
      </c>
      <c r="C172" s="7">
        <v>1990</v>
      </c>
      <c r="D172" s="8" t="s">
        <v>1167</v>
      </c>
      <c r="E172" s="8" t="s">
        <v>1168</v>
      </c>
      <c r="F172" s="8" t="s">
        <v>1169</v>
      </c>
      <c r="G172" s="6" t="s">
        <v>38</v>
      </c>
      <c r="H172" s="6" t="s">
        <v>39</v>
      </c>
      <c r="I172" s="8" t="s">
        <v>283</v>
      </c>
      <c r="J172" s="9">
        <v>1</v>
      </c>
      <c r="K172" s="9">
        <v>192</v>
      </c>
      <c r="L172" s="9">
        <v>2020</v>
      </c>
      <c r="M172" s="8" t="s">
        <v>1170</v>
      </c>
      <c r="N172" s="8" t="s">
        <v>41</v>
      </c>
      <c r="O172" s="8" t="s">
        <v>42</v>
      </c>
      <c r="P172" s="6" t="s">
        <v>56</v>
      </c>
      <c r="Q172" s="8" t="s">
        <v>87</v>
      </c>
      <c r="R172" s="10" t="s">
        <v>1171</v>
      </c>
      <c r="S172" s="11" t="s">
        <v>1161</v>
      </c>
      <c r="T172" s="6"/>
      <c r="U172" s="14" t="str">
        <f>HYPERLINK("https://media.infra-m.ru/0995/0995531/cover/995531.jpg", "Обложка")</f>
        <v>Обложка</v>
      </c>
      <c r="V172" s="14" t="str">
        <f>HYPERLINK("https://znanium.ru/catalog/product/995531", "Ознакомиться")</f>
        <v>Ознакомиться</v>
      </c>
      <c r="W172" s="8" t="s">
        <v>361</v>
      </c>
      <c r="X172" s="6"/>
      <c r="Y172" s="6"/>
      <c r="Z172" s="6"/>
      <c r="AA172" s="6" t="s">
        <v>330</v>
      </c>
      <c r="AB172" s="8"/>
    </row>
    <row r="173" spans="1:28" s="4" customFormat="1" ht="42" customHeight="1" x14ac:dyDescent="0.2">
      <c r="A173" s="5">
        <v>0</v>
      </c>
      <c r="B173" s="6" t="s">
        <v>1172</v>
      </c>
      <c r="C173" s="7">
        <v>1370</v>
      </c>
      <c r="D173" s="8" t="s">
        <v>1173</v>
      </c>
      <c r="E173" s="8" t="s">
        <v>1174</v>
      </c>
      <c r="F173" s="8" t="s">
        <v>963</v>
      </c>
      <c r="G173" s="6" t="s">
        <v>53</v>
      </c>
      <c r="H173" s="6" t="s">
        <v>39</v>
      </c>
      <c r="I173" s="8" t="s">
        <v>103</v>
      </c>
      <c r="J173" s="9">
        <v>1</v>
      </c>
      <c r="K173" s="9">
        <v>263</v>
      </c>
      <c r="L173" s="9">
        <v>2025</v>
      </c>
      <c r="M173" s="8" t="s">
        <v>1175</v>
      </c>
      <c r="N173" s="8" t="s">
        <v>41</v>
      </c>
      <c r="O173" s="8" t="s">
        <v>42</v>
      </c>
      <c r="P173" s="6" t="s">
        <v>105</v>
      </c>
      <c r="Q173" s="8" t="s">
        <v>106</v>
      </c>
      <c r="R173" s="10" t="s">
        <v>97</v>
      </c>
      <c r="S173" s="11"/>
      <c r="T173" s="6"/>
      <c r="U173" s="14" t="str">
        <f>HYPERLINK("https://media.infra-m.ru/2197/2197031/cover/2197031.jpg", "Обложка")</f>
        <v>Обложка</v>
      </c>
      <c r="V173" s="14" t="str">
        <f>HYPERLINK("https://znanium.ru/catalog/product/2197031", "Ознакомиться")</f>
        <v>Ознакомиться</v>
      </c>
      <c r="W173" s="8" t="s">
        <v>361</v>
      </c>
      <c r="X173" s="6"/>
      <c r="Y173" s="6"/>
      <c r="Z173" s="6"/>
      <c r="AA173" s="6" t="s">
        <v>115</v>
      </c>
      <c r="AB173" s="8"/>
    </row>
    <row r="174" spans="1:28" s="4" customFormat="1" ht="51.95" customHeight="1" x14ac:dyDescent="0.2">
      <c r="A174" s="5">
        <v>0</v>
      </c>
      <c r="B174" s="6" t="s">
        <v>1176</v>
      </c>
      <c r="C174" s="7">
        <v>1704</v>
      </c>
      <c r="D174" s="8" t="s">
        <v>1177</v>
      </c>
      <c r="E174" s="8" t="s">
        <v>1178</v>
      </c>
      <c r="F174" s="8" t="s">
        <v>1179</v>
      </c>
      <c r="G174" s="6" t="s">
        <v>53</v>
      </c>
      <c r="H174" s="6" t="s">
        <v>39</v>
      </c>
      <c r="I174" s="8" t="s">
        <v>139</v>
      </c>
      <c r="J174" s="9">
        <v>1</v>
      </c>
      <c r="K174" s="9">
        <v>328</v>
      </c>
      <c r="L174" s="9">
        <v>2026</v>
      </c>
      <c r="M174" s="8" t="s">
        <v>1180</v>
      </c>
      <c r="N174" s="8" t="s">
        <v>41</v>
      </c>
      <c r="O174" s="8" t="s">
        <v>42</v>
      </c>
      <c r="P174" s="6" t="s">
        <v>131</v>
      </c>
      <c r="Q174" s="8" t="s">
        <v>141</v>
      </c>
      <c r="R174" s="10" t="s">
        <v>1181</v>
      </c>
      <c r="S174" s="11" t="s">
        <v>1182</v>
      </c>
      <c r="T174" s="6" t="s">
        <v>453</v>
      </c>
      <c r="U174" s="14" t="str">
        <f>HYPERLINK("https://media.infra-m.ru/2221/2221067/cover/2221067.jpg", "Обложка")</f>
        <v>Обложка</v>
      </c>
      <c r="V174" s="14" t="str">
        <f>HYPERLINK("https://znanium.ru/catalog/product/2130984", "Ознакомиться")</f>
        <v>Ознакомиться</v>
      </c>
      <c r="W174" s="8" t="s">
        <v>1183</v>
      </c>
      <c r="X174" s="6"/>
      <c r="Y174" s="6"/>
      <c r="Z174" s="6"/>
      <c r="AA174" s="6" t="s">
        <v>549</v>
      </c>
      <c r="AB174" s="8" t="s">
        <v>1184</v>
      </c>
    </row>
    <row r="175" spans="1:28" s="4" customFormat="1" ht="51.95" customHeight="1" x14ac:dyDescent="0.2">
      <c r="A175" s="5">
        <v>0</v>
      </c>
      <c r="B175" s="6" t="s">
        <v>1185</v>
      </c>
      <c r="C175" s="13">
        <v>743</v>
      </c>
      <c r="D175" s="8" t="s">
        <v>1186</v>
      </c>
      <c r="E175" s="8" t="s">
        <v>1187</v>
      </c>
      <c r="F175" s="8" t="s">
        <v>1188</v>
      </c>
      <c r="G175" s="6" t="s">
        <v>64</v>
      </c>
      <c r="H175" s="6" t="s">
        <v>1189</v>
      </c>
      <c r="I175" s="8"/>
      <c r="J175" s="9">
        <v>1</v>
      </c>
      <c r="K175" s="9">
        <v>98</v>
      </c>
      <c r="L175" s="9">
        <v>2025</v>
      </c>
      <c r="M175" s="8" t="s">
        <v>1190</v>
      </c>
      <c r="N175" s="8" t="s">
        <v>41</v>
      </c>
      <c r="O175" s="8" t="s">
        <v>42</v>
      </c>
      <c r="P175" s="6" t="s">
        <v>105</v>
      </c>
      <c r="Q175" s="8" t="s">
        <v>106</v>
      </c>
      <c r="R175" s="10" t="s">
        <v>1191</v>
      </c>
      <c r="S175" s="11"/>
      <c r="T175" s="6"/>
      <c r="U175" s="14" t="str">
        <f>HYPERLINK("https://media.infra-m.ru/2220/2220696/cover/2220696.jpg", "Обложка")</f>
        <v>Обложка</v>
      </c>
      <c r="V175" s="14" t="str">
        <f>HYPERLINK("https://znanium.ru/catalog/product/2211227", "Ознакомиться")</f>
        <v>Ознакомиться</v>
      </c>
      <c r="W175" s="8" t="s">
        <v>152</v>
      </c>
      <c r="X175" s="6"/>
      <c r="Y175" s="6"/>
      <c r="Z175" s="6"/>
      <c r="AA175" s="6" t="s">
        <v>81</v>
      </c>
      <c r="AB175" s="8"/>
    </row>
    <row r="176" spans="1:28" s="4" customFormat="1" ht="51.95" customHeight="1" x14ac:dyDescent="0.2">
      <c r="A176" s="5">
        <v>0</v>
      </c>
      <c r="B176" s="6" t="s">
        <v>1192</v>
      </c>
      <c r="C176" s="7">
        <v>3094</v>
      </c>
      <c r="D176" s="8" t="s">
        <v>1193</v>
      </c>
      <c r="E176" s="8" t="s">
        <v>1194</v>
      </c>
      <c r="F176" s="8" t="s">
        <v>1195</v>
      </c>
      <c r="G176" s="6" t="s">
        <v>38</v>
      </c>
      <c r="H176" s="6" t="s">
        <v>39</v>
      </c>
      <c r="I176" s="8" t="s">
        <v>283</v>
      </c>
      <c r="J176" s="9">
        <v>1</v>
      </c>
      <c r="K176" s="9">
        <v>639</v>
      </c>
      <c r="L176" s="9">
        <v>2025</v>
      </c>
      <c r="M176" s="8" t="s">
        <v>1196</v>
      </c>
      <c r="N176" s="8" t="s">
        <v>41</v>
      </c>
      <c r="O176" s="8" t="s">
        <v>42</v>
      </c>
      <c r="P176" s="6" t="s">
        <v>131</v>
      </c>
      <c r="Q176" s="8" t="s">
        <v>87</v>
      </c>
      <c r="R176" s="10" t="s">
        <v>1197</v>
      </c>
      <c r="S176" s="11" t="s">
        <v>1198</v>
      </c>
      <c r="T176" s="6" t="s">
        <v>453</v>
      </c>
      <c r="U176" s="14" t="str">
        <f>HYPERLINK("https://media.infra-m.ru/2188/2188261/cover/2188261.jpg", "Обложка")</f>
        <v>Обложка</v>
      </c>
      <c r="V176" s="14" t="str">
        <f>HYPERLINK("https://znanium.ru/catalog/product/2133569", "Ознакомиться")</f>
        <v>Ознакомиться</v>
      </c>
      <c r="W176" s="8" t="s">
        <v>726</v>
      </c>
      <c r="X176" s="6"/>
      <c r="Y176" s="6"/>
      <c r="Z176" s="6"/>
      <c r="AA176" s="6" t="s">
        <v>135</v>
      </c>
      <c r="AB176" s="8"/>
    </row>
    <row r="177" spans="1:28" s="4" customFormat="1" ht="44.1" customHeight="1" x14ac:dyDescent="0.2">
      <c r="A177" s="5">
        <v>0</v>
      </c>
      <c r="B177" s="6" t="s">
        <v>1199</v>
      </c>
      <c r="C177" s="7">
        <v>2260</v>
      </c>
      <c r="D177" s="8" t="s">
        <v>1200</v>
      </c>
      <c r="E177" s="8" t="s">
        <v>1201</v>
      </c>
      <c r="F177" s="8" t="s">
        <v>1202</v>
      </c>
      <c r="G177" s="6" t="s">
        <v>53</v>
      </c>
      <c r="H177" s="6" t="s">
        <v>39</v>
      </c>
      <c r="I177" s="8" t="s">
        <v>283</v>
      </c>
      <c r="J177" s="9">
        <v>1</v>
      </c>
      <c r="K177" s="9">
        <v>844</v>
      </c>
      <c r="L177" s="9">
        <v>2023</v>
      </c>
      <c r="M177" s="8" t="s">
        <v>1203</v>
      </c>
      <c r="N177" s="8" t="s">
        <v>41</v>
      </c>
      <c r="O177" s="8" t="s">
        <v>42</v>
      </c>
      <c r="P177" s="6" t="s">
        <v>131</v>
      </c>
      <c r="Q177" s="8" t="s">
        <v>87</v>
      </c>
      <c r="R177" s="10" t="s">
        <v>1204</v>
      </c>
      <c r="S177" s="11"/>
      <c r="T177" s="6" t="s">
        <v>453</v>
      </c>
      <c r="U177" s="14" t="str">
        <f>HYPERLINK("https://media.infra-m.ru/2024/2024038/cover/2024038.jpg", "Обложка")</f>
        <v>Обложка</v>
      </c>
      <c r="V177" s="14" t="str">
        <f>HYPERLINK("https://znanium.ru/catalog/product/2024038", "Ознакомиться")</f>
        <v>Ознакомиться</v>
      </c>
      <c r="W177" s="8" t="s">
        <v>159</v>
      </c>
      <c r="X177" s="6"/>
      <c r="Y177" s="6"/>
      <c r="Z177" s="6"/>
      <c r="AA177" s="6" t="s">
        <v>330</v>
      </c>
      <c r="AB177" s="8"/>
    </row>
    <row r="178" spans="1:28" s="4" customFormat="1" ht="44.1" customHeight="1" x14ac:dyDescent="0.2">
      <c r="A178" s="5">
        <v>0</v>
      </c>
      <c r="B178" s="6" t="s">
        <v>1205</v>
      </c>
      <c r="C178" s="7">
        <v>1034.9000000000001</v>
      </c>
      <c r="D178" s="8" t="s">
        <v>1206</v>
      </c>
      <c r="E178" s="8" t="s">
        <v>1207</v>
      </c>
      <c r="F178" s="8" t="s">
        <v>1208</v>
      </c>
      <c r="G178" s="6" t="s">
        <v>38</v>
      </c>
      <c r="H178" s="6" t="s">
        <v>39</v>
      </c>
      <c r="I178" s="8" t="s">
        <v>103</v>
      </c>
      <c r="J178" s="9">
        <v>1</v>
      </c>
      <c r="K178" s="9">
        <v>230</v>
      </c>
      <c r="L178" s="9">
        <v>2023</v>
      </c>
      <c r="M178" s="8" t="s">
        <v>1209</v>
      </c>
      <c r="N178" s="8" t="s">
        <v>41</v>
      </c>
      <c r="O178" s="8" t="s">
        <v>42</v>
      </c>
      <c r="P178" s="6" t="s">
        <v>105</v>
      </c>
      <c r="Q178" s="8" t="s">
        <v>106</v>
      </c>
      <c r="R178" s="10" t="s">
        <v>1210</v>
      </c>
      <c r="S178" s="11"/>
      <c r="T178" s="6"/>
      <c r="U178" s="14" t="str">
        <f>HYPERLINK("https://media.infra-m.ru/1976/1976152/cover/1976152.jpg", "Обложка")</f>
        <v>Обложка</v>
      </c>
      <c r="V178" s="14" t="str">
        <f>HYPERLINK("https://znanium.ru/catalog/product/1020785", "Ознакомиться")</f>
        <v>Ознакомиться</v>
      </c>
      <c r="W178" s="8" t="s">
        <v>114</v>
      </c>
      <c r="X178" s="6"/>
      <c r="Y178" s="6"/>
      <c r="Z178" s="6"/>
      <c r="AA178" s="6" t="s">
        <v>330</v>
      </c>
      <c r="AB178" s="8"/>
    </row>
    <row r="179" spans="1:28" s="4" customFormat="1" ht="51.95" customHeight="1" x14ac:dyDescent="0.2">
      <c r="A179" s="5">
        <v>0</v>
      </c>
      <c r="B179" s="6" t="s">
        <v>1211</v>
      </c>
      <c r="C179" s="7">
        <v>1100</v>
      </c>
      <c r="D179" s="8" t="s">
        <v>1212</v>
      </c>
      <c r="E179" s="8" t="s">
        <v>1213</v>
      </c>
      <c r="F179" s="8" t="s">
        <v>1214</v>
      </c>
      <c r="G179" s="6" t="s">
        <v>53</v>
      </c>
      <c r="H179" s="6" t="s">
        <v>39</v>
      </c>
      <c r="I179" s="8" t="s">
        <v>54</v>
      </c>
      <c r="J179" s="9">
        <v>1</v>
      </c>
      <c r="K179" s="9">
        <v>219</v>
      </c>
      <c r="L179" s="9">
        <v>2025</v>
      </c>
      <c r="M179" s="8" t="s">
        <v>1215</v>
      </c>
      <c r="N179" s="8" t="s">
        <v>1085</v>
      </c>
      <c r="O179" s="8" t="s">
        <v>1086</v>
      </c>
      <c r="P179" s="6" t="s">
        <v>56</v>
      </c>
      <c r="Q179" s="8" t="s">
        <v>87</v>
      </c>
      <c r="R179" s="10" t="s">
        <v>1216</v>
      </c>
      <c r="S179" s="11" t="s">
        <v>1217</v>
      </c>
      <c r="T179" s="6" t="s">
        <v>453</v>
      </c>
      <c r="U179" s="14" t="str">
        <f>HYPERLINK("https://media.infra-m.ru/2180/2180462/cover/2180462.jpg", "Обложка")</f>
        <v>Обложка</v>
      </c>
      <c r="V179" s="14" t="str">
        <f>HYPERLINK("https://znanium.ru/catalog/product/2180462", "Ознакомиться")</f>
        <v>Ознакомиться</v>
      </c>
      <c r="W179" s="8" t="s">
        <v>1218</v>
      </c>
      <c r="X179" s="6"/>
      <c r="Y179" s="6"/>
      <c r="Z179" s="6"/>
      <c r="AA179" s="6" t="s">
        <v>549</v>
      </c>
      <c r="AB179" s="8"/>
    </row>
    <row r="180" spans="1:28" s="4" customFormat="1" ht="51.95" customHeight="1" x14ac:dyDescent="0.2">
      <c r="A180" s="5">
        <v>0</v>
      </c>
      <c r="B180" s="6" t="s">
        <v>1219</v>
      </c>
      <c r="C180" s="7">
        <v>1160</v>
      </c>
      <c r="D180" s="8" t="s">
        <v>1220</v>
      </c>
      <c r="E180" s="8" t="s">
        <v>1221</v>
      </c>
      <c r="F180" s="8" t="s">
        <v>1222</v>
      </c>
      <c r="G180" s="6" t="s">
        <v>38</v>
      </c>
      <c r="H180" s="6" t="s">
        <v>39</v>
      </c>
      <c r="I180" s="8" t="s">
        <v>76</v>
      </c>
      <c r="J180" s="9">
        <v>1</v>
      </c>
      <c r="K180" s="9">
        <v>228</v>
      </c>
      <c r="L180" s="9">
        <v>2025</v>
      </c>
      <c r="M180" s="8" t="s">
        <v>1223</v>
      </c>
      <c r="N180" s="8" t="s">
        <v>41</v>
      </c>
      <c r="O180" s="8" t="s">
        <v>42</v>
      </c>
      <c r="P180" s="6" t="s">
        <v>43</v>
      </c>
      <c r="Q180" s="8" t="s">
        <v>87</v>
      </c>
      <c r="R180" s="10" t="s">
        <v>520</v>
      </c>
      <c r="S180" s="11" t="s">
        <v>1224</v>
      </c>
      <c r="T180" s="6"/>
      <c r="U180" s="14" t="str">
        <f>HYPERLINK("https://media.infra-m.ru/2157/2157889/cover/2157889.jpg", "Обложка")</f>
        <v>Обложка</v>
      </c>
      <c r="V180" s="14" t="str">
        <f>HYPERLINK("https://znanium.ru/catalog/product/2157889", "Ознакомиться")</f>
        <v>Ознакомиться</v>
      </c>
      <c r="W180" s="8" t="s">
        <v>47</v>
      </c>
      <c r="X180" s="6"/>
      <c r="Y180" s="6"/>
      <c r="Z180" s="6"/>
      <c r="AA180" s="6" t="s">
        <v>81</v>
      </c>
      <c r="AB180" s="8"/>
    </row>
    <row r="181" spans="1:28" s="4" customFormat="1" ht="42" customHeight="1" x14ac:dyDescent="0.2">
      <c r="A181" s="5">
        <v>0</v>
      </c>
      <c r="B181" s="6" t="s">
        <v>1225</v>
      </c>
      <c r="C181" s="7">
        <v>2990</v>
      </c>
      <c r="D181" s="8" t="s">
        <v>1226</v>
      </c>
      <c r="E181" s="8" t="s">
        <v>1227</v>
      </c>
      <c r="F181" s="8" t="s">
        <v>1228</v>
      </c>
      <c r="G181" s="6" t="s">
        <v>38</v>
      </c>
      <c r="H181" s="6" t="s">
        <v>39</v>
      </c>
      <c r="I181" s="8" t="s">
        <v>283</v>
      </c>
      <c r="J181" s="9">
        <v>1</v>
      </c>
      <c r="K181" s="9">
        <v>1088</v>
      </c>
      <c r="L181" s="9">
        <v>2024</v>
      </c>
      <c r="M181" s="8" t="s">
        <v>1229</v>
      </c>
      <c r="N181" s="8" t="s">
        <v>41</v>
      </c>
      <c r="O181" s="8" t="s">
        <v>42</v>
      </c>
      <c r="P181" s="6" t="s">
        <v>1230</v>
      </c>
      <c r="Q181" s="8" t="s">
        <v>87</v>
      </c>
      <c r="R181" s="10" t="s">
        <v>198</v>
      </c>
      <c r="S181" s="11"/>
      <c r="T181" s="6"/>
      <c r="U181" s="14" t="str">
        <f>HYPERLINK("https://media.infra-m.ru/2131/2131759/cover/2131759.jpg", "Обложка")</f>
        <v>Обложка</v>
      </c>
      <c r="V181" s="14" t="str">
        <f>HYPERLINK("https://znanium.ru/catalog/product/2131759", "Ознакомиться")</f>
        <v>Ознакомиться</v>
      </c>
      <c r="W181" s="8" t="s">
        <v>1231</v>
      </c>
      <c r="X181" s="6"/>
      <c r="Y181" s="6"/>
      <c r="Z181" s="6"/>
      <c r="AA181" s="6" t="s">
        <v>330</v>
      </c>
      <c r="AB181" s="8" t="s">
        <v>331</v>
      </c>
    </row>
    <row r="182" spans="1:28" s="4" customFormat="1" ht="44.1" customHeight="1" x14ac:dyDescent="0.2">
      <c r="A182" s="5">
        <v>0</v>
      </c>
      <c r="B182" s="6" t="s">
        <v>1232</v>
      </c>
      <c r="C182" s="13">
        <v>640</v>
      </c>
      <c r="D182" s="8" t="s">
        <v>1233</v>
      </c>
      <c r="E182" s="8" t="s">
        <v>1234</v>
      </c>
      <c r="F182" s="8" t="s">
        <v>1235</v>
      </c>
      <c r="G182" s="6" t="s">
        <v>64</v>
      </c>
      <c r="H182" s="6" t="s">
        <v>95</v>
      </c>
      <c r="I182" s="8" t="s">
        <v>54</v>
      </c>
      <c r="J182" s="9">
        <v>1</v>
      </c>
      <c r="K182" s="9">
        <v>116</v>
      </c>
      <c r="L182" s="9">
        <v>2025</v>
      </c>
      <c r="M182" s="8" t="s">
        <v>1236</v>
      </c>
      <c r="N182" s="8" t="s">
        <v>41</v>
      </c>
      <c r="O182" s="8" t="s">
        <v>42</v>
      </c>
      <c r="P182" s="6" t="s">
        <v>56</v>
      </c>
      <c r="Q182" s="8" t="s">
        <v>44</v>
      </c>
      <c r="R182" s="10" t="s">
        <v>1237</v>
      </c>
      <c r="S182" s="11"/>
      <c r="T182" s="6"/>
      <c r="U182" s="14" t="str">
        <f>HYPERLINK("https://media.infra-m.ru/2170/2170237/cover/2170237.jpg", "Обложка")</f>
        <v>Обложка</v>
      </c>
      <c r="V182" s="14" t="str">
        <f>HYPERLINK("https://znanium.ru/catalog/product/2170237", "Ознакомиться")</f>
        <v>Ознакомиться</v>
      </c>
      <c r="W182" s="8" t="s">
        <v>413</v>
      </c>
      <c r="X182" s="6"/>
      <c r="Y182" s="6"/>
      <c r="Z182" s="6"/>
      <c r="AA182" s="6" t="s">
        <v>81</v>
      </c>
      <c r="AB182" s="8"/>
    </row>
    <row r="183" spans="1:28" s="4" customFormat="1" ht="51.95" customHeight="1" x14ac:dyDescent="0.2">
      <c r="A183" s="5">
        <v>0</v>
      </c>
      <c r="B183" s="6" t="s">
        <v>1238</v>
      </c>
      <c r="C183" s="7">
        <v>1940</v>
      </c>
      <c r="D183" s="8" t="s">
        <v>1239</v>
      </c>
      <c r="E183" s="8" t="s">
        <v>1240</v>
      </c>
      <c r="F183" s="8" t="s">
        <v>689</v>
      </c>
      <c r="G183" s="6" t="s">
        <v>53</v>
      </c>
      <c r="H183" s="6" t="s">
        <v>350</v>
      </c>
      <c r="I183" s="8" t="s">
        <v>690</v>
      </c>
      <c r="J183" s="9">
        <v>1</v>
      </c>
      <c r="K183" s="9">
        <v>288</v>
      </c>
      <c r="L183" s="9">
        <v>2025</v>
      </c>
      <c r="M183" s="8" t="s">
        <v>1241</v>
      </c>
      <c r="N183" s="8" t="s">
        <v>41</v>
      </c>
      <c r="O183" s="8" t="s">
        <v>42</v>
      </c>
      <c r="P183" s="6" t="s">
        <v>56</v>
      </c>
      <c r="Q183" s="8" t="s">
        <v>141</v>
      </c>
      <c r="R183" s="10" t="s">
        <v>1242</v>
      </c>
      <c r="S183" s="11" t="s">
        <v>693</v>
      </c>
      <c r="T183" s="6"/>
      <c r="U183" s="14" t="str">
        <f>HYPERLINK("https://media.infra-m.ru/2170/2170984/cover/2170984.jpg", "Обложка")</f>
        <v>Обложка</v>
      </c>
      <c r="V183" s="14" t="str">
        <f>HYPERLINK("https://znanium.ru/catalog/product/2170984", "Ознакомиться")</f>
        <v>Ознакомиться</v>
      </c>
      <c r="W183" s="8" t="s">
        <v>114</v>
      </c>
      <c r="X183" s="6"/>
      <c r="Y183" s="6"/>
      <c r="Z183" s="6"/>
      <c r="AA183" s="6" t="s">
        <v>272</v>
      </c>
      <c r="AB183" s="8"/>
    </row>
    <row r="184" spans="1:28" s="4" customFormat="1" ht="51.95" customHeight="1" x14ac:dyDescent="0.2">
      <c r="A184" s="5">
        <v>0</v>
      </c>
      <c r="B184" s="6" t="s">
        <v>1243</v>
      </c>
      <c r="C184" s="7">
        <v>3219</v>
      </c>
      <c r="D184" s="8" t="s">
        <v>1244</v>
      </c>
      <c r="E184" s="8" t="s">
        <v>1245</v>
      </c>
      <c r="F184" s="8" t="s">
        <v>1246</v>
      </c>
      <c r="G184" s="6" t="s">
        <v>38</v>
      </c>
      <c r="H184" s="6" t="s">
        <v>39</v>
      </c>
      <c r="I184" s="8" t="s">
        <v>103</v>
      </c>
      <c r="J184" s="9">
        <v>1</v>
      </c>
      <c r="K184" s="9">
        <v>299</v>
      </c>
      <c r="L184" s="9">
        <v>2026</v>
      </c>
      <c r="M184" s="8" t="s">
        <v>1247</v>
      </c>
      <c r="N184" s="8" t="s">
        <v>41</v>
      </c>
      <c r="O184" s="8" t="s">
        <v>42</v>
      </c>
      <c r="P184" s="6" t="s">
        <v>105</v>
      </c>
      <c r="Q184" s="8" t="s">
        <v>106</v>
      </c>
      <c r="R184" s="10" t="s">
        <v>1248</v>
      </c>
      <c r="S184" s="11"/>
      <c r="T184" s="6"/>
      <c r="U184" s="14" t="str">
        <f>HYPERLINK("https://media.infra-m.ru/2224/2224101/cover/2224101.jpg", "Обложка")</f>
        <v>Обложка</v>
      </c>
      <c r="V184" s="14" t="str">
        <f>HYPERLINK("https://znanium.ru/catalog/product/2203364", "Ознакомиться")</f>
        <v>Ознакомиться</v>
      </c>
      <c r="W184" s="8" t="s">
        <v>390</v>
      </c>
      <c r="X184" s="6"/>
      <c r="Y184" s="6"/>
      <c r="Z184" s="6"/>
      <c r="AA184" s="6" t="s">
        <v>59</v>
      </c>
      <c r="AB184" s="8" t="s">
        <v>1249</v>
      </c>
    </row>
    <row r="185" spans="1:28" s="4" customFormat="1" ht="51.95" customHeight="1" x14ac:dyDescent="0.2">
      <c r="A185" s="5">
        <v>0</v>
      </c>
      <c r="B185" s="6" t="s">
        <v>1250</v>
      </c>
      <c r="C185" s="7">
        <v>2794.9</v>
      </c>
      <c r="D185" s="8" t="s">
        <v>1251</v>
      </c>
      <c r="E185" s="8" t="s">
        <v>1252</v>
      </c>
      <c r="F185" s="8" t="s">
        <v>1253</v>
      </c>
      <c r="G185" s="6" t="s">
        <v>53</v>
      </c>
      <c r="H185" s="6" t="s">
        <v>350</v>
      </c>
      <c r="I185" s="8" t="s">
        <v>283</v>
      </c>
      <c r="J185" s="9">
        <v>1</v>
      </c>
      <c r="K185" s="9">
        <v>623</v>
      </c>
      <c r="L185" s="9">
        <v>2023</v>
      </c>
      <c r="M185" s="8" t="s">
        <v>1254</v>
      </c>
      <c r="N185" s="8" t="s">
        <v>41</v>
      </c>
      <c r="O185" s="8" t="s">
        <v>42</v>
      </c>
      <c r="P185" s="6" t="s">
        <v>43</v>
      </c>
      <c r="Q185" s="8" t="s">
        <v>87</v>
      </c>
      <c r="R185" s="10" t="s">
        <v>97</v>
      </c>
      <c r="S185" s="11" t="s">
        <v>1255</v>
      </c>
      <c r="T185" s="6"/>
      <c r="U185" s="14" t="str">
        <f>HYPERLINK("https://media.infra-m.ru/1916/1916059/cover/1916059.jpg", "Обложка")</f>
        <v>Обложка</v>
      </c>
      <c r="V185" s="14" t="str">
        <f>HYPERLINK("https://znanium.ru/catalog/product/1912989", "Ознакомиться")</f>
        <v>Ознакомиться</v>
      </c>
      <c r="W185" s="8" t="s">
        <v>114</v>
      </c>
      <c r="X185" s="6"/>
      <c r="Y185" s="6"/>
      <c r="Z185" s="6"/>
      <c r="AA185" s="6" t="s">
        <v>549</v>
      </c>
      <c r="AB185" s="8"/>
    </row>
    <row r="186" spans="1:28" s="4" customFormat="1" ht="51.95" customHeight="1" x14ac:dyDescent="0.2">
      <c r="A186" s="5">
        <v>0</v>
      </c>
      <c r="B186" s="6" t="s">
        <v>1256</v>
      </c>
      <c r="C186" s="7">
        <v>2950</v>
      </c>
      <c r="D186" s="8" t="s">
        <v>1257</v>
      </c>
      <c r="E186" s="8" t="s">
        <v>1258</v>
      </c>
      <c r="F186" s="8" t="s">
        <v>1253</v>
      </c>
      <c r="G186" s="6" t="s">
        <v>38</v>
      </c>
      <c r="H186" s="6" t="s">
        <v>350</v>
      </c>
      <c r="I186" s="8" t="s">
        <v>283</v>
      </c>
      <c r="J186" s="9">
        <v>1</v>
      </c>
      <c r="K186" s="9">
        <v>628</v>
      </c>
      <c r="L186" s="9">
        <v>2024</v>
      </c>
      <c r="M186" s="8" t="s">
        <v>1259</v>
      </c>
      <c r="N186" s="8" t="s">
        <v>41</v>
      </c>
      <c r="O186" s="8" t="s">
        <v>42</v>
      </c>
      <c r="P186" s="6" t="s">
        <v>43</v>
      </c>
      <c r="Q186" s="8" t="s">
        <v>87</v>
      </c>
      <c r="R186" s="10" t="s">
        <v>97</v>
      </c>
      <c r="S186" s="11" t="s">
        <v>1260</v>
      </c>
      <c r="T186" s="6"/>
      <c r="U186" s="14" t="str">
        <f>HYPERLINK("https://media.infra-m.ru/2133/2133575/cover/2133575.jpg", "Обложка")</f>
        <v>Обложка</v>
      </c>
      <c r="V186" s="14" t="str">
        <f>HYPERLINK("https://znanium.ru/catalog/product/2133575", "Ознакомиться")</f>
        <v>Ознакомиться</v>
      </c>
      <c r="W186" s="8" t="s">
        <v>114</v>
      </c>
      <c r="X186" s="6"/>
      <c r="Y186" s="6"/>
      <c r="Z186" s="6"/>
      <c r="AA186" s="6" t="s">
        <v>107</v>
      </c>
      <c r="AB186" s="8"/>
    </row>
    <row r="187" spans="1:28" s="4" customFormat="1" ht="42" customHeight="1" x14ac:dyDescent="0.2">
      <c r="A187" s="5">
        <v>0</v>
      </c>
      <c r="B187" s="6" t="s">
        <v>1261</v>
      </c>
      <c r="C187" s="7">
        <v>1164</v>
      </c>
      <c r="D187" s="8" t="s">
        <v>1262</v>
      </c>
      <c r="E187" s="8" t="s">
        <v>1263</v>
      </c>
      <c r="F187" s="8" t="s">
        <v>1264</v>
      </c>
      <c r="G187" s="6" t="s">
        <v>38</v>
      </c>
      <c r="H187" s="6" t="s">
        <v>267</v>
      </c>
      <c r="I187" s="8" t="s">
        <v>661</v>
      </c>
      <c r="J187" s="9">
        <v>1</v>
      </c>
      <c r="K187" s="9">
        <v>224</v>
      </c>
      <c r="L187" s="9">
        <v>2025</v>
      </c>
      <c r="M187" s="8" t="s">
        <v>1265</v>
      </c>
      <c r="N187" s="8" t="s">
        <v>41</v>
      </c>
      <c r="O187" s="8" t="s">
        <v>488</v>
      </c>
      <c r="P187" s="6" t="s">
        <v>131</v>
      </c>
      <c r="Q187" s="8" t="s">
        <v>121</v>
      </c>
      <c r="R187" s="10" t="s">
        <v>1266</v>
      </c>
      <c r="S187" s="11"/>
      <c r="T187" s="6"/>
      <c r="U187" s="14" t="str">
        <f>HYPERLINK("https://media.infra-m.ru/2196/2196099/cover/2196099.jpg", "Обложка")</f>
        <v>Обложка</v>
      </c>
      <c r="V187" s="14" t="str">
        <f>HYPERLINK("https://znanium.ru/catalog/product/553607", "Ознакомиться")</f>
        <v>Ознакомиться</v>
      </c>
      <c r="W187" s="8" t="s">
        <v>1267</v>
      </c>
      <c r="X187" s="6"/>
      <c r="Y187" s="6"/>
      <c r="Z187" s="6"/>
      <c r="AA187" s="6" t="s">
        <v>107</v>
      </c>
      <c r="AB187" s="8"/>
    </row>
    <row r="188" spans="1:28" s="4" customFormat="1" ht="51.95" customHeight="1" x14ac:dyDescent="0.2">
      <c r="A188" s="5">
        <v>0</v>
      </c>
      <c r="B188" s="6" t="s">
        <v>1268</v>
      </c>
      <c r="C188" s="13">
        <v>584</v>
      </c>
      <c r="D188" s="8" t="s">
        <v>1269</v>
      </c>
      <c r="E188" s="8" t="s">
        <v>1270</v>
      </c>
      <c r="F188" s="8" t="s">
        <v>1271</v>
      </c>
      <c r="G188" s="6" t="s">
        <v>64</v>
      </c>
      <c r="H188" s="6" t="s">
        <v>39</v>
      </c>
      <c r="I188" s="8" t="s">
        <v>661</v>
      </c>
      <c r="J188" s="9">
        <v>1</v>
      </c>
      <c r="K188" s="9">
        <v>112</v>
      </c>
      <c r="L188" s="9">
        <v>2025</v>
      </c>
      <c r="M188" s="8" t="s">
        <v>1272</v>
      </c>
      <c r="N188" s="8" t="s">
        <v>41</v>
      </c>
      <c r="O188" s="8" t="s">
        <v>488</v>
      </c>
      <c r="P188" s="6" t="s">
        <v>56</v>
      </c>
      <c r="Q188" s="8" t="s">
        <v>121</v>
      </c>
      <c r="R188" s="10" t="s">
        <v>1273</v>
      </c>
      <c r="S188" s="11" t="s">
        <v>1274</v>
      </c>
      <c r="T188" s="6"/>
      <c r="U188" s="14" t="str">
        <f>HYPERLINK("https://media.infra-m.ru/2198/2198529/cover/2198529.jpg", "Обложка")</f>
        <v>Обложка</v>
      </c>
      <c r="V188" s="14" t="str">
        <f>HYPERLINK("https://znanium.ru/catalog/product/960039", "Ознакомиться")</f>
        <v>Ознакомиться</v>
      </c>
      <c r="W188" s="8" t="s">
        <v>1275</v>
      </c>
      <c r="X188" s="6"/>
      <c r="Y188" s="6"/>
      <c r="Z188" s="6"/>
      <c r="AA188" s="6" t="s">
        <v>71</v>
      </c>
      <c r="AB188" s="8"/>
    </row>
    <row r="189" spans="1:28" s="4" customFormat="1" ht="42" customHeight="1" x14ac:dyDescent="0.2">
      <c r="A189" s="5">
        <v>0</v>
      </c>
      <c r="B189" s="6" t="s">
        <v>1276</v>
      </c>
      <c r="C189" s="7">
        <v>3299</v>
      </c>
      <c r="D189" s="8" t="s">
        <v>1277</v>
      </c>
      <c r="E189" s="8" t="s">
        <v>1278</v>
      </c>
      <c r="F189" s="8" t="s">
        <v>1279</v>
      </c>
      <c r="G189" s="6" t="s">
        <v>38</v>
      </c>
      <c r="H189" s="6" t="s">
        <v>39</v>
      </c>
      <c r="I189" s="8" t="s">
        <v>103</v>
      </c>
      <c r="J189" s="9">
        <v>1</v>
      </c>
      <c r="K189" s="9">
        <v>164</v>
      </c>
      <c r="L189" s="9">
        <v>2024</v>
      </c>
      <c r="M189" s="8" t="s">
        <v>1280</v>
      </c>
      <c r="N189" s="8" t="s">
        <v>41</v>
      </c>
      <c r="O189" s="8" t="s">
        <v>42</v>
      </c>
      <c r="P189" s="6" t="s">
        <v>105</v>
      </c>
      <c r="Q189" s="8" t="s">
        <v>106</v>
      </c>
      <c r="R189" s="10" t="s">
        <v>1281</v>
      </c>
      <c r="S189" s="11"/>
      <c r="T189" s="6"/>
      <c r="U189" s="14" t="str">
        <f>HYPERLINK("https://media.infra-m.ru/2133/2133679/cover/2133679.jpg", "Обложка")</f>
        <v>Обложка</v>
      </c>
      <c r="V189" s="14" t="str">
        <f>HYPERLINK("https://znanium.ru/catalog/product/2133679", "Ознакомиться")</f>
        <v>Ознакомиться</v>
      </c>
      <c r="W189" s="8" t="s">
        <v>699</v>
      </c>
      <c r="X189" s="6"/>
      <c r="Y189" s="6"/>
      <c r="Z189" s="6"/>
      <c r="AA189" s="6" t="s">
        <v>48</v>
      </c>
      <c r="AB189" s="8" t="s">
        <v>1282</v>
      </c>
    </row>
    <row r="190" spans="1:28" s="4" customFormat="1" ht="42" customHeight="1" x14ac:dyDescent="0.2">
      <c r="A190" s="5">
        <v>0</v>
      </c>
      <c r="B190" s="6" t="s">
        <v>1283</v>
      </c>
      <c r="C190" s="7">
        <v>1230</v>
      </c>
      <c r="D190" s="8" t="s">
        <v>1284</v>
      </c>
      <c r="E190" s="8" t="s">
        <v>1285</v>
      </c>
      <c r="F190" s="8" t="s">
        <v>1286</v>
      </c>
      <c r="G190" s="6" t="s">
        <v>53</v>
      </c>
      <c r="H190" s="6" t="s">
        <v>39</v>
      </c>
      <c r="I190" s="8" t="s">
        <v>54</v>
      </c>
      <c r="J190" s="9">
        <v>1</v>
      </c>
      <c r="K190" s="9">
        <v>233</v>
      </c>
      <c r="L190" s="9">
        <v>2025</v>
      </c>
      <c r="M190" s="8" t="s">
        <v>1287</v>
      </c>
      <c r="N190" s="8" t="s">
        <v>41</v>
      </c>
      <c r="O190" s="8" t="s">
        <v>42</v>
      </c>
      <c r="P190" s="6" t="s">
        <v>131</v>
      </c>
      <c r="Q190" s="8" t="s">
        <v>78</v>
      </c>
      <c r="R190" s="10" t="s">
        <v>1288</v>
      </c>
      <c r="S190" s="11"/>
      <c r="T190" s="6"/>
      <c r="U190" s="14" t="str">
        <f>HYPERLINK("https://media.infra-m.ru/2191/2191621/cover/2191621.jpg", "Обложка")</f>
        <v>Обложка</v>
      </c>
      <c r="V190" s="14" t="str">
        <f>HYPERLINK("https://znanium.ru/catalog/product/2191621", "Ознакомиться")</f>
        <v>Ознакомиться</v>
      </c>
      <c r="W190" s="8" t="s">
        <v>1289</v>
      </c>
      <c r="X190" s="6"/>
      <c r="Y190" s="6"/>
      <c r="Z190" s="6"/>
      <c r="AA190" s="6" t="s">
        <v>59</v>
      </c>
      <c r="AB190" s="8"/>
    </row>
    <row r="191" spans="1:28" s="4" customFormat="1" ht="51.95" customHeight="1" x14ac:dyDescent="0.2">
      <c r="A191" s="5">
        <v>0</v>
      </c>
      <c r="B191" s="6" t="s">
        <v>1290</v>
      </c>
      <c r="C191" s="13">
        <v>964</v>
      </c>
      <c r="D191" s="8" t="s">
        <v>1291</v>
      </c>
      <c r="E191" s="8" t="s">
        <v>1292</v>
      </c>
      <c r="F191" s="8" t="s">
        <v>1293</v>
      </c>
      <c r="G191" s="6" t="s">
        <v>64</v>
      </c>
      <c r="H191" s="6" t="s">
        <v>350</v>
      </c>
      <c r="I191" s="8"/>
      <c r="J191" s="9">
        <v>1</v>
      </c>
      <c r="K191" s="9">
        <v>176</v>
      </c>
      <c r="L191" s="9">
        <v>2026</v>
      </c>
      <c r="M191" s="8" t="s">
        <v>1294</v>
      </c>
      <c r="N191" s="8" t="s">
        <v>1085</v>
      </c>
      <c r="O191" s="8" t="s">
        <v>1086</v>
      </c>
      <c r="P191" s="6" t="s">
        <v>105</v>
      </c>
      <c r="Q191" s="8" t="s">
        <v>106</v>
      </c>
      <c r="R191" s="10" t="s">
        <v>1295</v>
      </c>
      <c r="S191" s="11"/>
      <c r="T191" s="6"/>
      <c r="U191" s="14" t="str">
        <f>HYPERLINK("https://media.infra-m.ru/2225/2225054/cover/2225054.jpg", "Обложка")</f>
        <v>Обложка</v>
      </c>
      <c r="V191" s="12"/>
      <c r="W191" s="8" t="s">
        <v>1296</v>
      </c>
      <c r="X191" s="6"/>
      <c r="Y191" s="6"/>
      <c r="Z191" s="6"/>
      <c r="AA191" s="6" t="s">
        <v>876</v>
      </c>
      <c r="AB191" s="8"/>
    </row>
    <row r="192" spans="1:28" s="4" customFormat="1" ht="51.95" customHeight="1" x14ac:dyDescent="0.2">
      <c r="A192" s="5">
        <v>0</v>
      </c>
      <c r="B192" s="6" t="s">
        <v>1297</v>
      </c>
      <c r="C192" s="7">
        <v>1164.9000000000001</v>
      </c>
      <c r="D192" s="8" t="s">
        <v>1298</v>
      </c>
      <c r="E192" s="8" t="s">
        <v>1299</v>
      </c>
      <c r="F192" s="8" t="s">
        <v>1300</v>
      </c>
      <c r="G192" s="6" t="s">
        <v>38</v>
      </c>
      <c r="H192" s="6" t="s">
        <v>39</v>
      </c>
      <c r="I192" s="8" t="s">
        <v>661</v>
      </c>
      <c r="J192" s="9">
        <v>1</v>
      </c>
      <c r="K192" s="9">
        <v>259</v>
      </c>
      <c r="L192" s="9">
        <v>2023</v>
      </c>
      <c r="M192" s="8" t="s">
        <v>1301</v>
      </c>
      <c r="N192" s="8" t="s">
        <v>41</v>
      </c>
      <c r="O192" s="8" t="s">
        <v>42</v>
      </c>
      <c r="P192" s="6" t="s">
        <v>56</v>
      </c>
      <c r="Q192" s="8" t="s">
        <v>121</v>
      </c>
      <c r="R192" s="10" t="s">
        <v>1302</v>
      </c>
      <c r="S192" s="11"/>
      <c r="T192" s="6"/>
      <c r="U192" s="14" t="str">
        <f>HYPERLINK("https://media.infra-m.ru/1981/1981665/cover/1981665.jpg", "Обложка")</f>
        <v>Обложка</v>
      </c>
      <c r="V192" s="14" t="str">
        <f>HYPERLINK("https://znanium.ru/catalog/product/960050", "Ознакомиться")</f>
        <v>Ознакомиться</v>
      </c>
      <c r="W192" s="8" t="s">
        <v>1303</v>
      </c>
      <c r="X192" s="6"/>
      <c r="Y192" s="6"/>
      <c r="Z192" s="6"/>
      <c r="AA192" s="6" t="s">
        <v>71</v>
      </c>
      <c r="AB192" s="8"/>
    </row>
    <row r="193" spans="1:28" s="4" customFormat="1" ht="51.95" customHeight="1" x14ac:dyDescent="0.2">
      <c r="A193" s="5">
        <v>0</v>
      </c>
      <c r="B193" s="6" t="s">
        <v>1304</v>
      </c>
      <c r="C193" s="13">
        <v>920</v>
      </c>
      <c r="D193" s="8" t="s">
        <v>1305</v>
      </c>
      <c r="E193" s="8" t="s">
        <v>1306</v>
      </c>
      <c r="F193" s="8" t="s">
        <v>1307</v>
      </c>
      <c r="G193" s="6" t="s">
        <v>64</v>
      </c>
      <c r="H193" s="6" t="s">
        <v>39</v>
      </c>
      <c r="I193" s="8" t="s">
        <v>103</v>
      </c>
      <c r="J193" s="9">
        <v>1</v>
      </c>
      <c r="K193" s="9">
        <v>199</v>
      </c>
      <c r="L193" s="9">
        <v>2023</v>
      </c>
      <c r="M193" s="8" t="s">
        <v>1308</v>
      </c>
      <c r="N193" s="8" t="s">
        <v>41</v>
      </c>
      <c r="O193" s="8" t="s">
        <v>42</v>
      </c>
      <c r="P193" s="6" t="s">
        <v>105</v>
      </c>
      <c r="Q193" s="8" t="s">
        <v>106</v>
      </c>
      <c r="R193" s="10" t="s">
        <v>1309</v>
      </c>
      <c r="S193" s="11"/>
      <c r="T193" s="6"/>
      <c r="U193" s="14" t="str">
        <f>HYPERLINK("https://media.infra-m.ru/2126/2126821/cover/2126821.jpg", "Обложка")</f>
        <v>Обложка</v>
      </c>
      <c r="V193" s="14" t="str">
        <f>HYPERLINK("https://znanium.ru/catalog/product/2126821", "Ознакомиться")</f>
        <v>Ознакомиться</v>
      </c>
      <c r="W193" s="8" t="s">
        <v>733</v>
      </c>
      <c r="X193" s="6"/>
      <c r="Y193" s="6"/>
      <c r="Z193" s="6"/>
      <c r="AA193" s="6" t="s">
        <v>184</v>
      </c>
      <c r="AB193" s="8"/>
    </row>
    <row r="194" spans="1:28" s="4" customFormat="1" ht="51.95" customHeight="1" x14ac:dyDescent="0.2">
      <c r="A194" s="5">
        <v>0</v>
      </c>
      <c r="B194" s="6" t="s">
        <v>1310</v>
      </c>
      <c r="C194" s="7">
        <v>2384</v>
      </c>
      <c r="D194" s="8" t="s">
        <v>1311</v>
      </c>
      <c r="E194" s="8" t="s">
        <v>1312</v>
      </c>
      <c r="F194" s="8" t="s">
        <v>1313</v>
      </c>
      <c r="G194" s="6" t="s">
        <v>38</v>
      </c>
      <c r="H194" s="6" t="s">
        <v>39</v>
      </c>
      <c r="I194" s="8" t="s">
        <v>54</v>
      </c>
      <c r="J194" s="9">
        <v>1</v>
      </c>
      <c r="K194" s="9">
        <v>433</v>
      </c>
      <c r="L194" s="9">
        <v>2026</v>
      </c>
      <c r="M194" s="8" t="s">
        <v>1314</v>
      </c>
      <c r="N194" s="8" t="s">
        <v>41</v>
      </c>
      <c r="O194" s="8" t="s">
        <v>42</v>
      </c>
      <c r="P194" s="6" t="s">
        <v>131</v>
      </c>
      <c r="Q194" s="8" t="s">
        <v>121</v>
      </c>
      <c r="R194" s="10" t="s">
        <v>746</v>
      </c>
      <c r="S194" s="11" t="s">
        <v>1315</v>
      </c>
      <c r="T194" s="6"/>
      <c r="U194" s="14" t="str">
        <f>HYPERLINK("https://media.infra-m.ru/2224/2224173/cover/2224173.jpg", "Обложка")</f>
        <v>Обложка</v>
      </c>
      <c r="V194" s="14" t="str">
        <f>HYPERLINK("https://znanium.ru/catalog/product/1911112", "Ознакомиться")</f>
        <v>Ознакомиться</v>
      </c>
      <c r="W194" s="8" t="s">
        <v>1316</v>
      </c>
      <c r="X194" s="6"/>
      <c r="Y194" s="6"/>
      <c r="Z194" s="6"/>
      <c r="AA194" s="6" t="s">
        <v>272</v>
      </c>
      <c r="AB194" s="8"/>
    </row>
    <row r="195" spans="1:28" s="4" customFormat="1" ht="51.95" customHeight="1" x14ac:dyDescent="0.2">
      <c r="A195" s="5">
        <v>0</v>
      </c>
      <c r="B195" s="6" t="s">
        <v>1317</v>
      </c>
      <c r="C195" s="7">
        <v>1750</v>
      </c>
      <c r="D195" s="8" t="s">
        <v>1318</v>
      </c>
      <c r="E195" s="8" t="s">
        <v>1312</v>
      </c>
      <c r="F195" s="8" t="s">
        <v>1319</v>
      </c>
      <c r="G195" s="6" t="s">
        <v>53</v>
      </c>
      <c r="H195" s="6" t="s">
        <v>39</v>
      </c>
      <c r="I195" s="8" t="s">
        <v>54</v>
      </c>
      <c r="J195" s="9">
        <v>1</v>
      </c>
      <c r="K195" s="9">
        <v>382</v>
      </c>
      <c r="L195" s="9">
        <v>2023</v>
      </c>
      <c r="M195" s="8" t="s">
        <v>1320</v>
      </c>
      <c r="N195" s="8" t="s">
        <v>41</v>
      </c>
      <c r="O195" s="8" t="s">
        <v>42</v>
      </c>
      <c r="P195" s="6" t="s">
        <v>56</v>
      </c>
      <c r="Q195" s="8" t="s">
        <v>44</v>
      </c>
      <c r="R195" s="10" t="s">
        <v>1321</v>
      </c>
      <c r="S195" s="11" t="s">
        <v>1322</v>
      </c>
      <c r="T195" s="6"/>
      <c r="U195" s="14" t="str">
        <f>HYPERLINK("https://media.infra-m.ru/2031/2031694/cover/2031694.jpg", "Обложка")</f>
        <v>Обложка</v>
      </c>
      <c r="V195" s="14" t="str">
        <f>HYPERLINK("https://znanium.ru/catalog/product/1906710", "Ознакомиться")</f>
        <v>Ознакомиться</v>
      </c>
      <c r="W195" s="8" t="s">
        <v>1323</v>
      </c>
      <c r="X195" s="6"/>
      <c r="Y195" s="6"/>
      <c r="Z195" s="6"/>
      <c r="AA195" s="6" t="s">
        <v>125</v>
      </c>
      <c r="AB195" s="8"/>
    </row>
    <row r="196" spans="1:28" s="4" customFormat="1" ht="51.95" customHeight="1" x14ac:dyDescent="0.2">
      <c r="A196" s="5">
        <v>0</v>
      </c>
      <c r="B196" s="6" t="s">
        <v>1324</v>
      </c>
      <c r="C196" s="7">
        <v>4890</v>
      </c>
      <c r="D196" s="8" t="s">
        <v>1325</v>
      </c>
      <c r="E196" s="8" t="s">
        <v>1326</v>
      </c>
      <c r="F196" s="8" t="s">
        <v>1327</v>
      </c>
      <c r="G196" s="6" t="s">
        <v>38</v>
      </c>
      <c r="H196" s="6" t="s">
        <v>39</v>
      </c>
      <c r="I196" s="8" t="s">
        <v>76</v>
      </c>
      <c r="J196" s="9">
        <v>1</v>
      </c>
      <c r="K196" s="9">
        <v>1107</v>
      </c>
      <c r="L196" s="9">
        <v>2025</v>
      </c>
      <c r="M196" s="8" t="s">
        <v>1328</v>
      </c>
      <c r="N196" s="8" t="s">
        <v>41</v>
      </c>
      <c r="O196" s="8" t="s">
        <v>42</v>
      </c>
      <c r="P196" s="6" t="s">
        <v>56</v>
      </c>
      <c r="Q196" s="8" t="s">
        <v>44</v>
      </c>
      <c r="R196" s="10" t="s">
        <v>292</v>
      </c>
      <c r="S196" s="11" t="s">
        <v>1329</v>
      </c>
      <c r="T196" s="6"/>
      <c r="U196" s="14" t="str">
        <f>HYPERLINK("https://media.infra-m.ru/2155/2155740/cover/2155740.jpg", "Обложка")</f>
        <v>Обложка</v>
      </c>
      <c r="V196" s="14" t="str">
        <f>HYPERLINK("https://znanium.ru/catalog/product/2155740", "Ознакомиться")</f>
        <v>Ознакомиться</v>
      </c>
      <c r="W196" s="8" t="s">
        <v>47</v>
      </c>
      <c r="X196" s="6"/>
      <c r="Y196" s="6"/>
      <c r="Z196" s="6"/>
      <c r="AA196" s="6" t="s">
        <v>81</v>
      </c>
      <c r="AB196" s="8"/>
    </row>
    <row r="197" spans="1:28" s="4" customFormat="1" ht="42" customHeight="1" x14ac:dyDescent="0.2">
      <c r="A197" s="5">
        <v>0</v>
      </c>
      <c r="B197" s="6" t="s">
        <v>1330</v>
      </c>
      <c r="C197" s="13">
        <v>670</v>
      </c>
      <c r="D197" s="8" t="s">
        <v>1331</v>
      </c>
      <c r="E197" s="8" t="s">
        <v>1332</v>
      </c>
      <c r="F197" s="8" t="s">
        <v>1333</v>
      </c>
      <c r="G197" s="6" t="s">
        <v>64</v>
      </c>
      <c r="H197" s="6" t="s">
        <v>39</v>
      </c>
      <c r="I197" s="8" t="s">
        <v>679</v>
      </c>
      <c r="J197" s="9">
        <v>1</v>
      </c>
      <c r="K197" s="9">
        <v>139</v>
      </c>
      <c r="L197" s="9">
        <v>2022</v>
      </c>
      <c r="M197" s="8" t="s">
        <v>1334</v>
      </c>
      <c r="N197" s="8" t="s">
        <v>41</v>
      </c>
      <c r="O197" s="8" t="s">
        <v>42</v>
      </c>
      <c r="P197" s="6" t="s">
        <v>105</v>
      </c>
      <c r="Q197" s="8" t="s">
        <v>106</v>
      </c>
      <c r="R197" s="10" t="s">
        <v>1335</v>
      </c>
      <c r="S197" s="11"/>
      <c r="T197" s="6"/>
      <c r="U197" s="14" t="str">
        <f>HYPERLINK("https://media.infra-m.ru/1860/1860851/cover/1860851.jpg", "Обложка")</f>
        <v>Обложка</v>
      </c>
      <c r="V197" s="14" t="str">
        <f>HYPERLINK("https://znanium.ru/catalog/product/1860851", "Ознакомиться")</f>
        <v>Ознакомиться</v>
      </c>
      <c r="W197" s="8" t="s">
        <v>58</v>
      </c>
      <c r="X197" s="6"/>
      <c r="Y197" s="6"/>
      <c r="Z197" s="6"/>
      <c r="AA197" s="6" t="s">
        <v>115</v>
      </c>
      <c r="AB197" s="8"/>
    </row>
    <row r="198" spans="1:28" s="4" customFormat="1" ht="42" customHeight="1" x14ac:dyDescent="0.2">
      <c r="A198" s="5">
        <v>0</v>
      </c>
      <c r="B198" s="6" t="s">
        <v>1336</v>
      </c>
      <c r="C198" s="13">
        <v>514</v>
      </c>
      <c r="D198" s="8" t="s">
        <v>1337</v>
      </c>
      <c r="E198" s="8" t="s">
        <v>1338</v>
      </c>
      <c r="F198" s="8" t="s">
        <v>1339</v>
      </c>
      <c r="G198" s="6" t="s">
        <v>64</v>
      </c>
      <c r="H198" s="6" t="s">
        <v>277</v>
      </c>
      <c r="I198" s="8" t="s">
        <v>278</v>
      </c>
      <c r="J198" s="9">
        <v>1</v>
      </c>
      <c r="K198" s="9">
        <v>98</v>
      </c>
      <c r="L198" s="9">
        <v>2025</v>
      </c>
      <c r="M198" s="8" t="s">
        <v>1340</v>
      </c>
      <c r="N198" s="8" t="s">
        <v>41</v>
      </c>
      <c r="O198" s="8" t="s">
        <v>42</v>
      </c>
      <c r="P198" s="6" t="s">
        <v>105</v>
      </c>
      <c r="Q198" s="8" t="s">
        <v>78</v>
      </c>
      <c r="R198" s="10" t="s">
        <v>705</v>
      </c>
      <c r="S198" s="11"/>
      <c r="T198" s="6"/>
      <c r="U198" s="14" t="str">
        <f>HYPERLINK("https://media.infra-m.ru/2201/2201909/cover/2201909.jpg", "Обложка")</f>
        <v>Обложка</v>
      </c>
      <c r="V198" s="14" t="str">
        <f>HYPERLINK("https://znanium.ru/catalog/product/1920317", "Ознакомиться")</f>
        <v>Ознакомиться</v>
      </c>
      <c r="W198" s="8" t="s">
        <v>175</v>
      </c>
      <c r="X198" s="6"/>
      <c r="Y198" s="6"/>
      <c r="Z198" s="6"/>
      <c r="AA198" s="6" t="s">
        <v>135</v>
      </c>
      <c r="AB198" s="8"/>
    </row>
    <row r="199" spans="1:28" s="4" customFormat="1" ht="51.95" customHeight="1" x14ac:dyDescent="0.2">
      <c r="A199" s="5">
        <v>0</v>
      </c>
      <c r="B199" s="6" t="s">
        <v>1341</v>
      </c>
      <c r="C199" s="7">
        <v>1010</v>
      </c>
      <c r="D199" s="8" t="s">
        <v>1342</v>
      </c>
      <c r="E199" s="8" t="s">
        <v>1343</v>
      </c>
      <c r="F199" s="8" t="s">
        <v>1344</v>
      </c>
      <c r="G199" s="6" t="s">
        <v>64</v>
      </c>
      <c r="H199" s="6" t="s">
        <v>39</v>
      </c>
      <c r="I199" s="8" t="s">
        <v>103</v>
      </c>
      <c r="J199" s="9">
        <v>1</v>
      </c>
      <c r="K199" s="9">
        <v>235</v>
      </c>
      <c r="L199" s="9">
        <v>2022</v>
      </c>
      <c r="M199" s="8" t="s">
        <v>1345</v>
      </c>
      <c r="N199" s="8" t="s">
        <v>41</v>
      </c>
      <c r="O199" s="8" t="s">
        <v>42</v>
      </c>
      <c r="P199" s="6" t="s">
        <v>105</v>
      </c>
      <c r="Q199" s="8" t="s">
        <v>106</v>
      </c>
      <c r="R199" s="10" t="s">
        <v>1346</v>
      </c>
      <c r="S199" s="11"/>
      <c r="T199" s="6"/>
      <c r="U199" s="14" t="str">
        <f>HYPERLINK("https://media.infra-m.ru/1863/1863105/cover/1863105.jpg", "Обложка")</f>
        <v>Обложка</v>
      </c>
      <c r="V199" s="14" t="str">
        <f>HYPERLINK("https://znanium.ru/catalog/product/1863105", "Ознакомиться")</f>
        <v>Ознакомиться</v>
      </c>
      <c r="W199" s="8" t="s">
        <v>1024</v>
      </c>
      <c r="X199" s="6"/>
      <c r="Y199" s="6"/>
      <c r="Z199" s="6"/>
      <c r="AA199" s="6" t="s">
        <v>184</v>
      </c>
      <c r="AB199" s="8"/>
    </row>
    <row r="200" spans="1:28" s="4" customFormat="1" ht="51.95" customHeight="1" x14ac:dyDescent="0.2">
      <c r="A200" s="5">
        <v>0</v>
      </c>
      <c r="B200" s="6" t="s">
        <v>1347</v>
      </c>
      <c r="C200" s="7">
        <v>1310</v>
      </c>
      <c r="D200" s="8" t="s">
        <v>1348</v>
      </c>
      <c r="E200" s="8" t="s">
        <v>1349</v>
      </c>
      <c r="F200" s="8" t="s">
        <v>574</v>
      </c>
      <c r="G200" s="6" t="s">
        <v>53</v>
      </c>
      <c r="H200" s="6" t="s">
        <v>277</v>
      </c>
      <c r="I200" s="8"/>
      <c r="J200" s="9">
        <v>1</v>
      </c>
      <c r="K200" s="9">
        <v>252</v>
      </c>
      <c r="L200" s="9">
        <v>2025</v>
      </c>
      <c r="M200" s="8" t="s">
        <v>1350</v>
      </c>
      <c r="N200" s="8" t="s">
        <v>41</v>
      </c>
      <c r="O200" s="8" t="s">
        <v>42</v>
      </c>
      <c r="P200" s="6" t="s">
        <v>105</v>
      </c>
      <c r="Q200" s="8" t="s">
        <v>44</v>
      </c>
      <c r="R200" s="10" t="s">
        <v>1351</v>
      </c>
      <c r="S200" s="11" t="s">
        <v>1352</v>
      </c>
      <c r="T200" s="6"/>
      <c r="U200" s="14" t="str">
        <f>HYPERLINK("https://media.infra-m.ru/2143/2143231/cover/2143231.jpg", "Обложка")</f>
        <v>Обложка</v>
      </c>
      <c r="V200" s="14" t="str">
        <f>HYPERLINK("https://znanium.ru/catalog/product/2143231", "Ознакомиться")</f>
        <v>Ознакомиться</v>
      </c>
      <c r="W200" s="8" t="s">
        <v>175</v>
      </c>
      <c r="X200" s="6"/>
      <c r="Y200" s="6"/>
      <c r="Z200" s="6"/>
      <c r="AA200" s="6" t="s">
        <v>876</v>
      </c>
      <c r="AB200" s="8"/>
    </row>
    <row r="201" spans="1:28" s="4" customFormat="1" ht="44.1" customHeight="1" x14ac:dyDescent="0.2">
      <c r="A201" s="5">
        <v>0</v>
      </c>
      <c r="B201" s="6" t="s">
        <v>1353</v>
      </c>
      <c r="C201" s="13">
        <v>734</v>
      </c>
      <c r="D201" s="8" t="s">
        <v>1354</v>
      </c>
      <c r="E201" s="8" t="s">
        <v>1355</v>
      </c>
      <c r="F201" s="8" t="s">
        <v>574</v>
      </c>
      <c r="G201" s="6" t="s">
        <v>64</v>
      </c>
      <c r="H201" s="6" t="s">
        <v>39</v>
      </c>
      <c r="I201" s="8" t="s">
        <v>65</v>
      </c>
      <c r="J201" s="9">
        <v>1</v>
      </c>
      <c r="K201" s="9">
        <v>142</v>
      </c>
      <c r="L201" s="9">
        <v>2026</v>
      </c>
      <c r="M201" s="8" t="s">
        <v>1356</v>
      </c>
      <c r="N201" s="8" t="s">
        <v>41</v>
      </c>
      <c r="O201" s="8" t="s">
        <v>42</v>
      </c>
      <c r="P201" s="6" t="s">
        <v>67</v>
      </c>
      <c r="Q201" s="8" t="s">
        <v>1040</v>
      </c>
      <c r="R201" s="10" t="s">
        <v>1357</v>
      </c>
      <c r="S201" s="11"/>
      <c r="T201" s="6"/>
      <c r="U201" s="14" t="str">
        <f>HYPERLINK("https://media.infra-m.ru/2216/2216614/cover/2216614.jpg", "Обложка")</f>
        <v>Обложка</v>
      </c>
      <c r="V201" s="14" t="str">
        <f>HYPERLINK("https://znanium.ru/catalog/product/1841749", "Ознакомиться")</f>
        <v>Ознакомиться</v>
      </c>
      <c r="W201" s="8" t="s">
        <v>175</v>
      </c>
      <c r="X201" s="6"/>
      <c r="Y201" s="6"/>
      <c r="Z201" s="6"/>
      <c r="AA201" s="6" t="s">
        <v>71</v>
      </c>
      <c r="AB201" s="8"/>
    </row>
    <row r="202" spans="1:28" s="4" customFormat="1" ht="44.1" customHeight="1" x14ac:dyDescent="0.2">
      <c r="A202" s="5">
        <v>0</v>
      </c>
      <c r="B202" s="6" t="s">
        <v>1358</v>
      </c>
      <c r="C202" s="13">
        <v>790</v>
      </c>
      <c r="D202" s="8" t="s">
        <v>1359</v>
      </c>
      <c r="E202" s="8" t="s">
        <v>1360</v>
      </c>
      <c r="F202" s="8" t="s">
        <v>1361</v>
      </c>
      <c r="G202" s="6" t="s">
        <v>64</v>
      </c>
      <c r="H202" s="6" t="s">
        <v>39</v>
      </c>
      <c r="I202" s="8" t="s">
        <v>103</v>
      </c>
      <c r="J202" s="9">
        <v>1</v>
      </c>
      <c r="K202" s="9">
        <v>174</v>
      </c>
      <c r="L202" s="9">
        <v>2023</v>
      </c>
      <c r="M202" s="8" t="s">
        <v>1362</v>
      </c>
      <c r="N202" s="8" t="s">
        <v>41</v>
      </c>
      <c r="O202" s="8" t="s">
        <v>42</v>
      </c>
      <c r="P202" s="6" t="s">
        <v>105</v>
      </c>
      <c r="Q202" s="8" t="s">
        <v>106</v>
      </c>
      <c r="R202" s="10" t="s">
        <v>1034</v>
      </c>
      <c r="S202" s="11"/>
      <c r="T202" s="6"/>
      <c r="U202" s="14" t="str">
        <f>HYPERLINK("https://media.infra-m.ru/2038/2038326/cover/2038326.jpg", "Обложка")</f>
        <v>Обложка</v>
      </c>
      <c r="V202" s="14" t="str">
        <f>HYPERLINK("https://znanium.ru/catalog/product/2038326", "Ознакомиться")</f>
        <v>Ознакомиться</v>
      </c>
      <c r="W202" s="8" t="s">
        <v>175</v>
      </c>
      <c r="X202" s="6"/>
      <c r="Y202" s="6"/>
      <c r="Z202" s="6"/>
      <c r="AA202" s="6" t="s">
        <v>176</v>
      </c>
      <c r="AB202" s="8"/>
    </row>
    <row r="203" spans="1:28" s="4" customFormat="1" ht="51.95" customHeight="1" x14ac:dyDescent="0.2">
      <c r="A203" s="5">
        <v>0</v>
      </c>
      <c r="B203" s="6" t="s">
        <v>1363</v>
      </c>
      <c r="C203" s="13">
        <v>534</v>
      </c>
      <c r="D203" s="8" t="s">
        <v>1364</v>
      </c>
      <c r="E203" s="8" t="s">
        <v>1365</v>
      </c>
      <c r="F203" s="8" t="s">
        <v>574</v>
      </c>
      <c r="G203" s="6" t="s">
        <v>64</v>
      </c>
      <c r="H203" s="6" t="s">
        <v>39</v>
      </c>
      <c r="I203" s="8" t="s">
        <v>54</v>
      </c>
      <c r="J203" s="9">
        <v>1</v>
      </c>
      <c r="K203" s="9">
        <v>112</v>
      </c>
      <c r="L203" s="9">
        <v>2024</v>
      </c>
      <c r="M203" s="8" t="s">
        <v>1366</v>
      </c>
      <c r="N203" s="8" t="s">
        <v>41</v>
      </c>
      <c r="O203" s="8" t="s">
        <v>42</v>
      </c>
      <c r="P203" s="6" t="s">
        <v>56</v>
      </c>
      <c r="Q203" s="8" t="s">
        <v>87</v>
      </c>
      <c r="R203" s="10" t="s">
        <v>1367</v>
      </c>
      <c r="S203" s="11" t="s">
        <v>1368</v>
      </c>
      <c r="T203" s="6"/>
      <c r="U203" s="14" t="str">
        <f>HYPERLINK("https://media.infra-m.ru/2144/2144961/cover/2144961.jpg", "Обложка")</f>
        <v>Обложка</v>
      </c>
      <c r="V203" s="14" t="str">
        <f>HYPERLINK("https://znanium.ru/catalog/product/1841413", "Ознакомиться")</f>
        <v>Ознакомиться</v>
      </c>
      <c r="W203" s="8" t="s">
        <v>175</v>
      </c>
      <c r="X203" s="6"/>
      <c r="Y203" s="6"/>
      <c r="Z203" s="6"/>
      <c r="AA203" s="6" t="s">
        <v>125</v>
      </c>
      <c r="AB203" s="8"/>
    </row>
    <row r="204" spans="1:28" s="4" customFormat="1" ht="42" customHeight="1" x14ac:dyDescent="0.2">
      <c r="A204" s="5">
        <v>0</v>
      </c>
      <c r="B204" s="6" t="s">
        <v>1369</v>
      </c>
      <c r="C204" s="13">
        <v>680</v>
      </c>
      <c r="D204" s="8" t="s">
        <v>1370</v>
      </c>
      <c r="E204" s="8" t="s">
        <v>1371</v>
      </c>
      <c r="F204" s="8" t="s">
        <v>1372</v>
      </c>
      <c r="G204" s="6" t="s">
        <v>53</v>
      </c>
      <c r="H204" s="6" t="s">
        <v>39</v>
      </c>
      <c r="I204" s="8" t="s">
        <v>283</v>
      </c>
      <c r="J204" s="9">
        <v>1</v>
      </c>
      <c r="K204" s="9">
        <v>147</v>
      </c>
      <c r="L204" s="9">
        <v>2022</v>
      </c>
      <c r="M204" s="8" t="s">
        <v>1373</v>
      </c>
      <c r="N204" s="8" t="s">
        <v>41</v>
      </c>
      <c r="O204" s="8" t="s">
        <v>42</v>
      </c>
      <c r="P204" s="6" t="s">
        <v>56</v>
      </c>
      <c r="Q204" s="8" t="s">
        <v>87</v>
      </c>
      <c r="R204" s="10" t="s">
        <v>502</v>
      </c>
      <c r="S204" s="11"/>
      <c r="T204" s="6" t="s">
        <v>453</v>
      </c>
      <c r="U204" s="14" t="str">
        <f>HYPERLINK("https://media.infra-m.ru/1841/1841411/cover/1841411.jpg", "Обложка")</f>
        <v>Обложка</v>
      </c>
      <c r="V204" s="14" t="str">
        <f>HYPERLINK("https://znanium.ru/catalog/product/1841411", "Ознакомиться")</f>
        <v>Ознакомиться</v>
      </c>
      <c r="W204" s="8" t="s">
        <v>175</v>
      </c>
      <c r="X204" s="6"/>
      <c r="Y204" s="6"/>
      <c r="Z204" s="6"/>
      <c r="AA204" s="6" t="s">
        <v>115</v>
      </c>
      <c r="AB204" s="8"/>
    </row>
    <row r="205" spans="1:28" s="4" customFormat="1" ht="42" customHeight="1" x14ac:dyDescent="0.2">
      <c r="A205" s="5">
        <v>0</v>
      </c>
      <c r="B205" s="6" t="s">
        <v>1374</v>
      </c>
      <c r="C205" s="13">
        <v>900</v>
      </c>
      <c r="D205" s="8" t="s">
        <v>1375</v>
      </c>
      <c r="E205" s="8" t="s">
        <v>1376</v>
      </c>
      <c r="F205" s="8" t="s">
        <v>1377</v>
      </c>
      <c r="G205" s="6" t="s">
        <v>64</v>
      </c>
      <c r="H205" s="6" t="s">
        <v>39</v>
      </c>
      <c r="I205" s="8" t="s">
        <v>103</v>
      </c>
      <c r="J205" s="9">
        <v>1</v>
      </c>
      <c r="K205" s="9">
        <v>167</v>
      </c>
      <c r="L205" s="9">
        <v>2025</v>
      </c>
      <c r="M205" s="8" t="s">
        <v>1378</v>
      </c>
      <c r="N205" s="8" t="s">
        <v>1085</v>
      </c>
      <c r="O205" s="8" t="s">
        <v>1086</v>
      </c>
      <c r="P205" s="6" t="s">
        <v>105</v>
      </c>
      <c r="Q205" s="8" t="s">
        <v>106</v>
      </c>
      <c r="R205" s="10" t="s">
        <v>1379</v>
      </c>
      <c r="S205" s="11"/>
      <c r="T205" s="6"/>
      <c r="U205" s="14" t="str">
        <f>HYPERLINK("https://media.infra-m.ru/2188/2188421/cover/2188421.jpg", "Обложка")</f>
        <v>Обложка</v>
      </c>
      <c r="V205" s="14" t="str">
        <f>HYPERLINK("https://znanium.ru/catalog/product/2188421", "Ознакомиться")</f>
        <v>Ознакомиться</v>
      </c>
      <c r="W205" s="8" t="s">
        <v>1380</v>
      </c>
      <c r="X205" s="6" t="s">
        <v>521</v>
      </c>
      <c r="Y205" s="6"/>
      <c r="Z205" s="6"/>
      <c r="AA205" s="6" t="s">
        <v>81</v>
      </c>
      <c r="AB205" s="8"/>
    </row>
    <row r="206" spans="1:28" s="4" customFormat="1" ht="51.95" customHeight="1" x14ac:dyDescent="0.2">
      <c r="A206" s="5">
        <v>0</v>
      </c>
      <c r="B206" s="6" t="s">
        <v>1381</v>
      </c>
      <c r="C206" s="7">
        <v>1414</v>
      </c>
      <c r="D206" s="8" t="s">
        <v>1382</v>
      </c>
      <c r="E206" s="8" t="s">
        <v>1383</v>
      </c>
      <c r="F206" s="8" t="s">
        <v>1384</v>
      </c>
      <c r="G206" s="6" t="s">
        <v>53</v>
      </c>
      <c r="H206" s="6" t="s">
        <v>39</v>
      </c>
      <c r="I206" s="8" t="s">
        <v>283</v>
      </c>
      <c r="J206" s="9">
        <v>1</v>
      </c>
      <c r="K206" s="9">
        <v>273</v>
      </c>
      <c r="L206" s="9">
        <v>2025</v>
      </c>
      <c r="M206" s="8" t="s">
        <v>1385</v>
      </c>
      <c r="N206" s="8" t="s">
        <v>1085</v>
      </c>
      <c r="O206" s="8" t="s">
        <v>1086</v>
      </c>
      <c r="P206" s="6" t="s">
        <v>56</v>
      </c>
      <c r="Q206" s="8" t="s">
        <v>87</v>
      </c>
      <c r="R206" s="10" t="s">
        <v>1386</v>
      </c>
      <c r="S206" s="11" t="s">
        <v>1387</v>
      </c>
      <c r="T206" s="6"/>
      <c r="U206" s="14" t="str">
        <f>HYPERLINK("https://media.infra-m.ru/2197/2197227/cover/2197227.jpg", "Обложка")</f>
        <v>Обложка</v>
      </c>
      <c r="V206" s="14" t="str">
        <f>HYPERLINK("https://znanium.ru/catalog/product/1911115", "Ознакомиться")</f>
        <v>Ознакомиться</v>
      </c>
      <c r="W206" s="8" t="s">
        <v>1388</v>
      </c>
      <c r="X206" s="6"/>
      <c r="Y206" s="6"/>
      <c r="Z206" s="6"/>
      <c r="AA206" s="6" t="s">
        <v>885</v>
      </c>
      <c r="AB206" s="8"/>
    </row>
    <row r="207" spans="1:28" s="4" customFormat="1" ht="51.95" customHeight="1" x14ac:dyDescent="0.2">
      <c r="A207" s="5">
        <v>0</v>
      </c>
      <c r="B207" s="6" t="s">
        <v>1389</v>
      </c>
      <c r="C207" s="7">
        <v>1324</v>
      </c>
      <c r="D207" s="8" t="s">
        <v>1390</v>
      </c>
      <c r="E207" s="8" t="s">
        <v>1391</v>
      </c>
      <c r="F207" s="8" t="s">
        <v>1392</v>
      </c>
      <c r="G207" s="6" t="s">
        <v>64</v>
      </c>
      <c r="H207" s="6" t="s">
        <v>350</v>
      </c>
      <c r="I207" s="8" t="s">
        <v>54</v>
      </c>
      <c r="J207" s="9">
        <v>1</v>
      </c>
      <c r="K207" s="9">
        <v>240</v>
      </c>
      <c r="L207" s="9">
        <v>2025</v>
      </c>
      <c r="M207" s="8" t="s">
        <v>1393</v>
      </c>
      <c r="N207" s="8" t="s">
        <v>1085</v>
      </c>
      <c r="O207" s="8" t="s">
        <v>1086</v>
      </c>
      <c r="P207" s="6" t="s">
        <v>56</v>
      </c>
      <c r="Q207" s="8" t="s">
        <v>44</v>
      </c>
      <c r="R207" s="10" t="s">
        <v>1394</v>
      </c>
      <c r="S207" s="11" t="s">
        <v>1395</v>
      </c>
      <c r="T207" s="6"/>
      <c r="U207" s="14" t="str">
        <f>HYPERLINK("https://media.infra-m.ru/2225/2225035/cover/2225035.jpg", "Обложка")</f>
        <v>Обложка</v>
      </c>
      <c r="V207" s="14" t="str">
        <f>HYPERLINK("https://znanium.ru/catalog/product/2157165", "Ознакомиться")</f>
        <v>Ознакомиться</v>
      </c>
      <c r="W207" s="8" t="s">
        <v>1396</v>
      </c>
      <c r="X207" s="6"/>
      <c r="Y207" s="6"/>
      <c r="Z207" s="6"/>
      <c r="AA207" s="6" t="s">
        <v>135</v>
      </c>
      <c r="AB207" s="8"/>
    </row>
    <row r="208" spans="1:28" s="4" customFormat="1" ht="42" customHeight="1" x14ac:dyDescent="0.2">
      <c r="A208" s="5">
        <v>0</v>
      </c>
      <c r="B208" s="6" t="s">
        <v>1397</v>
      </c>
      <c r="C208" s="13">
        <v>500</v>
      </c>
      <c r="D208" s="8" t="s">
        <v>1398</v>
      </c>
      <c r="E208" s="8" t="s">
        <v>1399</v>
      </c>
      <c r="F208" s="8" t="s">
        <v>1400</v>
      </c>
      <c r="G208" s="6" t="s">
        <v>64</v>
      </c>
      <c r="H208" s="6" t="s">
        <v>39</v>
      </c>
      <c r="I208" s="8" t="s">
        <v>103</v>
      </c>
      <c r="J208" s="9">
        <v>1</v>
      </c>
      <c r="K208" s="9">
        <v>112</v>
      </c>
      <c r="L208" s="9">
        <v>2023</v>
      </c>
      <c r="M208" s="8" t="s">
        <v>1401</v>
      </c>
      <c r="N208" s="8" t="s">
        <v>41</v>
      </c>
      <c r="O208" s="8" t="s">
        <v>42</v>
      </c>
      <c r="P208" s="6" t="s">
        <v>105</v>
      </c>
      <c r="Q208" s="8" t="s">
        <v>106</v>
      </c>
      <c r="R208" s="10" t="s">
        <v>97</v>
      </c>
      <c r="S208" s="11"/>
      <c r="T208" s="6"/>
      <c r="U208" s="14" t="str">
        <f>HYPERLINK("https://media.infra-m.ru/1938/1938009/cover/1938009.jpg", "Обложка")</f>
        <v>Обложка</v>
      </c>
      <c r="V208" s="14" t="str">
        <f>HYPERLINK("https://znanium.ru/catalog/product/1938009", "Ознакомиться")</f>
        <v>Ознакомиться</v>
      </c>
      <c r="W208" s="8" t="s">
        <v>454</v>
      </c>
      <c r="X208" s="6"/>
      <c r="Y208" s="6"/>
      <c r="Z208" s="6"/>
      <c r="AA208" s="6" t="s">
        <v>71</v>
      </c>
      <c r="AB208" s="8"/>
    </row>
    <row r="209" spans="1:28" s="4" customFormat="1" ht="51.95" customHeight="1" x14ac:dyDescent="0.2">
      <c r="A209" s="5">
        <v>0</v>
      </c>
      <c r="B209" s="6" t="s">
        <v>1402</v>
      </c>
      <c r="C209" s="13">
        <v>610</v>
      </c>
      <c r="D209" s="8" t="s">
        <v>1403</v>
      </c>
      <c r="E209" s="8" t="s">
        <v>1404</v>
      </c>
      <c r="F209" s="8" t="s">
        <v>1405</v>
      </c>
      <c r="G209" s="6" t="s">
        <v>64</v>
      </c>
      <c r="H209" s="6" t="s">
        <v>39</v>
      </c>
      <c r="I209" s="8" t="s">
        <v>54</v>
      </c>
      <c r="J209" s="9">
        <v>1</v>
      </c>
      <c r="K209" s="9">
        <v>112</v>
      </c>
      <c r="L209" s="9">
        <v>2025</v>
      </c>
      <c r="M209" s="8" t="s">
        <v>1406</v>
      </c>
      <c r="N209" s="8" t="s">
        <v>41</v>
      </c>
      <c r="O209" s="8" t="s">
        <v>42</v>
      </c>
      <c r="P209" s="6" t="s">
        <v>56</v>
      </c>
      <c r="Q209" s="8" t="s">
        <v>121</v>
      </c>
      <c r="R209" s="10" t="s">
        <v>1407</v>
      </c>
      <c r="S209" s="11" t="s">
        <v>1408</v>
      </c>
      <c r="T209" s="6"/>
      <c r="U209" s="14" t="str">
        <f>HYPERLINK("https://media.infra-m.ru/2198/2198508/cover/2198508.jpg", "Обложка")</f>
        <v>Обложка</v>
      </c>
      <c r="V209" s="14" t="str">
        <f>HYPERLINK("https://znanium.ru/catalog/product/2083336", "Ознакомиться")</f>
        <v>Ознакомиться</v>
      </c>
      <c r="W209" s="8" t="s">
        <v>570</v>
      </c>
      <c r="X209" s="6"/>
      <c r="Y209" s="6"/>
      <c r="Z209" s="6"/>
      <c r="AA209" s="6" t="s">
        <v>71</v>
      </c>
      <c r="AB209" s="8"/>
    </row>
    <row r="210" spans="1:28" s="4" customFormat="1" ht="42" customHeight="1" x14ac:dyDescent="0.2">
      <c r="A210" s="5">
        <v>0</v>
      </c>
      <c r="B210" s="6" t="s">
        <v>1409</v>
      </c>
      <c r="C210" s="7">
        <v>1014</v>
      </c>
      <c r="D210" s="8" t="s">
        <v>1410</v>
      </c>
      <c r="E210" s="8" t="s">
        <v>1411</v>
      </c>
      <c r="F210" s="8" t="s">
        <v>1412</v>
      </c>
      <c r="G210" s="6" t="s">
        <v>64</v>
      </c>
      <c r="H210" s="6" t="s">
        <v>39</v>
      </c>
      <c r="I210" s="8" t="s">
        <v>103</v>
      </c>
      <c r="J210" s="9">
        <v>1</v>
      </c>
      <c r="K210" s="9">
        <v>194</v>
      </c>
      <c r="L210" s="9">
        <v>2025</v>
      </c>
      <c r="M210" s="8" t="s">
        <v>1413</v>
      </c>
      <c r="N210" s="8" t="s">
        <v>41</v>
      </c>
      <c r="O210" s="8" t="s">
        <v>42</v>
      </c>
      <c r="P210" s="6" t="s">
        <v>105</v>
      </c>
      <c r="Q210" s="8" t="s">
        <v>106</v>
      </c>
      <c r="R210" s="10" t="s">
        <v>97</v>
      </c>
      <c r="S210" s="11"/>
      <c r="T210" s="6"/>
      <c r="U210" s="14" t="str">
        <f>HYPERLINK("https://media.infra-m.ru/2197/2197592/cover/2197592.jpg", "Обложка")</f>
        <v>Обложка</v>
      </c>
      <c r="V210" s="14" t="str">
        <f>HYPERLINK("https://znanium.ru/catalog/product/1042292", "Ознакомиться")</f>
        <v>Ознакомиться</v>
      </c>
      <c r="W210" s="8" t="s">
        <v>1414</v>
      </c>
      <c r="X210" s="6"/>
      <c r="Y210" s="6"/>
      <c r="Z210" s="6"/>
      <c r="AA210" s="6" t="s">
        <v>330</v>
      </c>
      <c r="AB210" s="8"/>
    </row>
    <row r="211" spans="1:28" s="4" customFormat="1" ht="51.95" customHeight="1" x14ac:dyDescent="0.2">
      <c r="A211" s="5">
        <v>0</v>
      </c>
      <c r="B211" s="6" t="s">
        <v>1415</v>
      </c>
      <c r="C211" s="7">
        <v>1050</v>
      </c>
      <c r="D211" s="8" t="s">
        <v>1416</v>
      </c>
      <c r="E211" s="8" t="s">
        <v>1417</v>
      </c>
      <c r="F211" s="8" t="s">
        <v>1418</v>
      </c>
      <c r="G211" s="6" t="s">
        <v>53</v>
      </c>
      <c r="H211" s="6" t="s">
        <v>39</v>
      </c>
      <c r="I211" s="8" t="s">
        <v>1419</v>
      </c>
      <c r="J211" s="9">
        <v>1</v>
      </c>
      <c r="K211" s="9">
        <v>199</v>
      </c>
      <c r="L211" s="9">
        <v>2024</v>
      </c>
      <c r="M211" s="8" t="s">
        <v>1420</v>
      </c>
      <c r="N211" s="8" t="s">
        <v>41</v>
      </c>
      <c r="O211" s="8" t="s">
        <v>42</v>
      </c>
      <c r="P211" s="6" t="s">
        <v>56</v>
      </c>
      <c r="Q211" s="8" t="s">
        <v>87</v>
      </c>
      <c r="R211" s="10" t="s">
        <v>541</v>
      </c>
      <c r="S211" s="11" t="s">
        <v>1421</v>
      </c>
      <c r="T211" s="6"/>
      <c r="U211" s="14" t="str">
        <f>HYPERLINK("https://media.infra-m.ru/2148/2148516/cover/2148516.jpg", "Обложка")</f>
        <v>Обложка</v>
      </c>
      <c r="V211" s="14" t="str">
        <f>HYPERLINK("https://znanium.ru/catalog/product/2148516", "Ознакомиться")</f>
        <v>Ознакомиться</v>
      </c>
      <c r="W211" s="8" t="s">
        <v>58</v>
      </c>
      <c r="X211" s="6"/>
      <c r="Y211" s="6"/>
      <c r="Z211" s="6"/>
      <c r="AA211" s="6" t="s">
        <v>115</v>
      </c>
      <c r="AB211" s="8"/>
    </row>
    <row r="212" spans="1:28" s="4" customFormat="1" ht="51.95" customHeight="1" x14ac:dyDescent="0.2">
      <c r="A212" s="5">
        <v>0</v>
      </c>
      <c r="B212" s="6" t="s">
        <v>1422</v>
      </c>
      <c r="C212" s="7">
        <v>1094.9000000000001</v>
      </c>
      <c r="D212" s="8" t="s">
        <v>1423</v>
      </c>
      <c r="E212" s="8" t="s">
        <v>1424</v>
      </c>
      <c r="F212" s="8" t="s">
        <v>1425</v>
      </c>
      <c r="G212" s="6" t="s">
        <v>64</v>
      </c>
      <c r="H212" s="6" t="s">
        <v>350</v>
      </c>
      <c r="I212" s="8" t="s">
        <v>54</v>
      </c>
      <c r="J212" s="9">
        <v>1</v>
      </c>
      <c r="K212" s="9">
        <v>336</v>
      </c>
      <c r="L212" s="9">
        <v>2019</v>
      </c>
      <c r="M212" s="8" t="s">
        <v>1426</v>
      </c>
      <c r="N212" s="8" t="s">
        <v>41</v>
      </c>
      <c r="O212" s="8" t="s">
        <v>42</v>
      </c>
      <c r="P212" s="6" t="s">
        <v>56</v>
      </c>
      <c r="Q212" s="8" t="s">
        <v>87</v>
      </c>
      <c r="R212" s="10" t="s">
        <v>1427</v>
      </c>
      <c r="S212" s="11" t="s">
        <v>1428</v>
      </c>
      <c r="T212" s="6"/>
      <c r="U212" s="14" t="str">
        <f>HYPERLINK("https://media.infra-m.ru/1007/1007834/cover/1007834.jpg", "Обложка")</f>
        <v>Обложка</v>
      </c>
      <c r="V212" s="14" t="str">
        <f>HYPERLINK("https://znanium.ru/catalog/product/2197608", "Ознакомиться")</f>
        <v>Ознакомиться</v>
      </c>
      <c r="W212" s="8" t="s">
        <v>1396</v>
      </c>
      <c r="X212" s="6"/>
      <c r="Y212" s="6"/>
      <c r="Z212" s="6"/>
      <c r="AA212" s="6" t="s">
        <v>272</v>
      </c>
      <c r="AB212" s="8"/>
    </row>
    <row r="213" spans="1:28" s="4" customFormat="1" ht="51.95" customHeight="1" x14ac:dyDescent="0.2">
      <c r="A213" s="5">
        <v>0</v>
      </c>
      <c r="B213" s="6" t="s">
        <v>1429</v>
      </c>
      <c r="C213" s="7">
        <v>2190</v>
      </c>
      <c r="D213" s="8" t="s">
        <v>1430</v>
      </c>
      <c r="E213" s="8" t="s">
        <v>1431</v>
      </c>
      <c r="F213" s="8" t="s">
        <v>1425</v>
      </c>
      <c r="G213" s="6" t="s">
        <v>38</v>
      </c>
      <c r="H213" s="6" t="s">
        <v>350</v>
      </c>
      <c r="I213" s="8" t="s">
        <v>54</v>
      </c>
      <c r="J213" s="9">
        <v>1</v>
      </c>
      <c r="K213" s="9">
        <v>420</v>
      </c>
      <c r="L213" s="9">
        <v>2025</v>
      </c>
      <c r="M213" s="8" t="s">
        <v>1432</v>
      </c>
      <c r="N213" s="8" t="s">
        <v>41</v>
      </c>
      <c r="O213" s="8" t="s">
        <v>42</v>
      </c>
      <c r="P213" s="6" t="s">
        <v>56</v>
      </c>
      <c r="Q213" s="8" t="s">
        <v>87</v>
      </c>
      <c r="R213" s="10" t="s">
        <v>1427</v>
      </c>
      <c r="S213" s="11" t="s">
        <v>1433</v>
      </c>
      <c r="T213" s="6"/>
      <c r="U213" s="14" t="str">
        <f>HYPERLINK("https://media.infra-m.ru/2197/2197608/cover/2197608.jpg", "Обложка")</f>
        <v>Обложка</v>
      </c>
      <c r="V213" s="14" t="str">
        <f>HYPERLINK("https://znanium.ru/catalog/product/2197608", "Ознакомиться")</f>
        <v>Ознакомиться</v>
      </c>
      <c r="W213" s="8" t="s">
        <v>1396</v>
      </c>
      <c r="X213" s="6"/>
      <c r="Y213" s="6"/>
      <c r="Z213" s="6"/>
      <c r="AA213" s="6" t="s">
        <v>748</v>
      </c>
      <c r="AB213" s="8"/>
    </row>
    <row r="214" spans="1:28" s="4" customFormat="1" ht="51.95" customHeight="1" x14ac:dyDescent="0.2">
      <c r="A214" s="5">
        <v>0</v>
      </c>
      <c r="B214" s="6" t="s">
        <v>1434</v>
      </c>
      <c r="C214" s="7">
        <v>2264</v>
      </c>
      <c r="D214" s="8" t="s">
        <v>1435</v>
      </c>
      <c r="E214" s="8" t="s">
        <v>1436</v>
      </c>
      <c r="F214" s="8" t="s">
        <v>689</v>
      </c>
      <c r="G214" s="6" t="s">
        <v>53</v>
      </c>
      <c r="H214" s="6" t="s">
        <v>350</v>
      </c>
      <c r="I214" s="8" t="s">
        <v>690</v>
      </c>
      <c r="J214" s="9">
        <v>1</v>
      </c>
      <c r="K214" s="9">
        <v>432</v>
      </c>
      <c r="L214" s="9">
        <v>2026</v>
      </c>
      <c r="M214" s="8" t="s">
        <v>1437</v>
      </c>
      <c r="N214" s="8" t="s">
        <v>41</v>
      </c>
      <c r="O214" s="8" t="s">
        <v>42</v>
      </c>
      <c r="P214" s="6" t="s">
        <v>56</v>
      </c>
      <c r="Q214" s="8" t="s">
        <v>141</v>
      </c>
      <c r="R214" s="10" t="s">
        <v>1438</v>
      </c>
      <c r="S214" s="11" t="s">
        <v>1439</v>
      </c>
      <c r="T214" s="6"/>
      <c r="U214" s="14" t="str">
        <f>HYPERLINK("https://media.infra-m.ru/2220/2220953/cover/2220953.jpg", "Обложка")</f>
        <v>Обложка</v>
      </c>
      <c r="V214" s="14" t="str">
        <f>HYPERLINK("https://znanium.ru/catalog/product/1893798", "Ознакомиться")</f>
        <v>Ознакомиться</v>
      </c>
      <c r="W214" s="8" t="s">
        <v>114</v>
      </c>
      <c r="X214" s="6"/>
      <c r="Y214" s="6"/>
      <c r="Z214" s="6"/>
      <c r="AA214" s="6" t="s">
        <v>1440</v>
      </c>
      <c r="AB214" s="8"/>
    </row>
    <row r="215" spans="1:28" s="4" customFormat="1" ht="51.95" customHeight="1" x14ac:dyDescent="0.2">
      <c r="A215" s="5">
        <v>0</v>
      </c>
      <c r="B215" s="6" t="s">
        <v>1441</v>
      </c>
      <c r="C215" s="7">
        <v>2994</v>
      </c>
      <c r="D215" s="8" t="s">
        <v>1442</v>
      </c>
      <c r="E215" s="8" t="s">
        <v>1443</v>
      </c>
      <c r="F215" s="8" t="s">
        <v>1444</v>
      </c>
      <c r="G215" s="6" t="s">
        <v>38</v>
      </c>
      <c r="H215" s="6" t="s">
        <v>39</v>
      </c>
      <c r="I215" s="8"/>
      <c r="J215" s="9">
        <v>1</v>
      </c>
      <c r="K215" s="9">
        <v>543</v>
      </c>
      <c r="L215" s="9">
        <v>2026</v>
      </c>
      <c r="M215" s="8" t="s">
        <v>1445</v>
      </c>
      <c r="N215" s="8" t="s">
        <v>41</v>
      </c>
      <c r="O215" s="8" t="s">
        <v>42</v>
      </c>
      <c r="P215" s="6" t="s">
        <v>56</v>
      </c>
      <c r="Q215" s="8" t="s">
        <v>141</v>
      </c>
      <c r="R215" s="10" t="s">
        <v>445</v>
      </c>
      <c r="S215" s="11" t="s">
        <v>1446</v>
      </c>
      <c r="T215" s="6"/>
      <c r="U215" s="14" t="str">
        <f>HYPERLINK("https://media.infra-m.ru/2226/2226080/cover/2226080.jpg", "Обложка")</f>
        <v>Обложка</v>
      </c>
      <c r="V215" s="14" t="str">
        <f>HYPERLINK("https://znanium.ru/catalog/product/2216340", "Ознакомиться")</f>
        <v>Ознакомиться</v>
      </c>
      <c r="W215" s="8" t="s">
        <v>114</v>
      </c>
      <c r="X215" s="6"/>
      <c r="Y215" s="6"/>
      <c r="Z215" s="6"/>
      <c r="AA215" s="6" t="s">
        <v>1447</v>
      </c>
      <c r="AB215" s="8"/>
    </row>
    <row r="216" spans="1:28" s="4" customFormat="1" ht="51.95" customHeight="1" x14ac:dyDescent="0.2">
      <c r="A216" s="5">
        <v>0</v>
      </c>
      <c r="B216" s="6" t="s">
        <v>1448</v>
      </c>
      <c r="C216" s="7">
        <v>1204</v>
      </c>
      <c r="D216" s="8" t="s">
        <v>1449</v>
      </c>
      <c r="E216" s="8" t="s">
        <v>1450</v>
      </c>
      <c r="F216" s="8" t="s">
        <v>1451</v>
      </c>
      <c r="G216" s="6" t="s">
        <v>38</v>
      </c>
      <c r="H216" s="6" t="s">
        <v>95</v>
      </c>
      <c r="I216" s="8" t="s">
        <v>44</v>
      </c>
      <c r="J216" s="9">
        <v>1</v>
      </c>
      <c r="K216" s="9">
        <v>256</v>
      </c>
      <c r="L216" s="9">
        <v>2024</v>
      </c>
      <c r="M216" s="8" t="s">
        <v>1452</v>
      </c>
      <c r="N216" s="8" t="s">
        <v>41</v>
      </c>
      <c r="O216" s="8" t="s">
        <v>42</v>
      </c>
      <c r="P216" s="6" t="s">
        <v>56</v>
      </c>
      <c r="Q216" s="8" t="s">
        <v>141</v>
      </c>
      <c r="R216" s="10" t="s">
        <v>1453</v>
      </c>
      <c r="S216" s="11" t="s">
        <v>1454</v>
      </c>
      <c r="T216" s="6"/>
      <c r="U216" s="14" t="str">
        <f>HYPERLINK("https://media.infra-m.ru/2130/2130081/cover/2130081.jpg", "Обложка")</f>
        <v>Обложка</v>
      </c>
      <c r="V216" s="14" t="str">
        <f>HYPERLINK("https://znanium.ru/catalog/product/1058462", "Ознакомиться")</f>
        <v>Ознакомиться</v>
      </c>
      <c r="W216" s="8"/>
      <c r="X216" s="6"/>
      <c r="Y216" s="6"/>
      <c r="Z216" s="6"/>
      <c r="AA216" s="6" t="s">
        <v>125</v>
      </c>
      <c r="AB216" s="8"/>
    </row>
    <row r="217" spans="1:28" s="4" customFormat="1" ht="51.95" customHeight="1" x14ac:dyDescent="0.2">
      <c r="A217" s="5">
        <v>0</v>
      </c>
      <c r="B217" s="6" t="s">
        <v>1455</v>
      </c>
      <c r="C217" s="7">
        <v>1680</v>
      </c>
      <c r="D217" s="8" t="s">
        <v>1456</v>
      </c>
      <c r="E217" s="8" t="s">
        <v>1457</v>
      </c>
      <c r="F217" s="8" t="s">
        <v>1458</v>
      </c>
      <c r="G217" s="6" t="s">
        <v>53</v>
      </c>
      <c r="H217" s="6" t="s">
        <v>39</v>
      </c>
      <c r="I217" s="8" t="s">
        <v>139</v>
      </c>
      <c r="J217" s="9">
        <v>1</v>
      </c>
      <c r="K217" s="9">
        <v>336</v>
      </c>
      <c r="L217" s="9">
        <v>2025</v>
      </c>
      <c r="M217" s="8" t="s">
        <v>1459</v>
      </c>
      <c r="N217" s="8" t="s">
        <v>41</v>
      </c>
      <c r="O217" s="8" t="s">
        <v>42</v>
      </c>
      <c r="P217" s="6" t="s">
        <v>56</v>
      </c>
      <c r="Q217" s="8" t="s">
        <v>141</v>
      </c>
      <c r="R217" s="10" t="s">
        <v>1460</v>
      </c>
      <c r="S217" s="11" t="s">
        <v>1461</v>
      </c>
      <c r="T217" s="6"/>
      <c r="U217" s="14" t="str">
        <f>HYPERLINK("https://media.infra-m.ru/2185/2185121/cover/2185121.jpg", "Обложка")</f>
        <v>Обложка</v>
      </c>
      <c r="V217" s="14" t="str">
        <f>HYPERLINK("https://znanium.ru/catalog/product/2185121", "Ознакомиться")</f>
        <v>Ознакомиться</v>
      </c>
      <c r="W217" s="8" t="s">
        <v>1017</v>
      </c>
      <c r="X217" s="6"/>
      <c r="Y217" s="6"/>
      <c r="Z217" s="6"/>
      <c r="AA217" s="6" t="s">
        <v>1462</v>
      </c>
      <c r="AB217" s="8"/>
    </row>
    <row r="218" spans="1:28" s="4" customFormat="1" ht="51.95" customHeight="1" x14ac:dyDescent="0.2">
      <c r="A218" s="5">
        <v>0</v>
      </c>
      <c r="B218" s="6" t="s">
        <v>1463</v>
      </c>
      <c r="C218" s="7">
        <v>1090</v>
      </c>
      <c r="D218" s="8" t="s">
        <v>1464</v>
      </c>
      <c r="E218" s="8" t="s">
        <v>1465</v>
      </c>
      <c r="F218" s="8" t="s">
        <v>1466</v>
      </c>
      <c r="G218" s="6" t="s">
        <v>38</v>
      </c>
      <c r="H218" s="6" t="s">
        <v>39</v>
      </c>
      <c r="I218" s="8" t="s">
        <v>661</v>
      </c>
      <c r="J218" s="9">
        <v>1</v>
      </c>
      <c r="K218" s="9">
        <v>218</v>
      </c>
      <c r="L218" s="9">
        <v>2023</v>
      </c>
      <c r="M218" s="8" t="s">
        <v>1467</v>
      </c>
      <c r="N218" s="8" t="s">
        <v>41</v>
      </c>
      <c r="O218" s="8" t="s">
        <v>42</v>
      </c>
      <c r="P218" s="6" t="s">
        <v>56</v>
      </c>
      <c r="Q218" s="8" t="s">
        <v>121</v>
      </c>
      <c r="R218" s="10" t="s">
        <v>1468</v>
      </c>
      <c r="S218" s="11" t="s">
        <v>1469</v>
      </c>
      <c r="T218" s="6"/>
      <c r="U218" s="14" t="str">
        <f>HYPERLINK("https://media.infra-m.ru/1852/1852468/cover/1852468.jpg", "Обложка")</f>
        <v>Обложка</v>
      </c>
      <c r="V218" s="14" t="str">
        <f>HYPERLINK("https://znanium.ru/catalog/product/1852468", "Ознакомиться")</f>
        <v>Ознакомиться</v>
      </c>
      <c r="W218" s="8" t="s">
        <v>1470</v>
      </c>
      <c r="X218" s="6"/>
      <c r="Y218" s="6"/>
      <c r="Z218" s="6"/>
      <c r="AA218" s="6" t="s">
        <v>59</v>
      </c>
      <c r="AB218" s="8"/>
    </row>
    <row r="219" spans="1:28" s="4" customFormat="1" ht="51.95" customHeight="1" x14ac:dyDescent="0.2">
      <c r="A219" s="5">
        <v>0</v>
      </c>
      <c r="B219" s="6" t="s">
        <v>1471</v>
      </c>
      <c r="C219" s="7">
        <v>1100</v>
      </c>
      <c r="D219" s="8" t="s">
        <v>1472</v>
      </c>
      <c r="E219" s="8" t="s">
        <v>1473</v>
      </c>
      <c r="F219" s="8" t="s">
        <v>1474</v>
      </c>
      <c r="G219" s="6" t="s">
        <v>53</v>
      </c>
      <c r="H219" s="6" t="s">
        <v>39</v>
      </c>
      <c r="I219" s="8" t="s">
        <v>1475</v>
      </c>
      <c r="J219" s="9">
        <v>1</v>
      </c>
      <c r="K219" s="9">
        <v>223</v>
      </c>
      <c r="L219" s="9">
        <v>2024</v>
      </c>
      <c r="M219" s="8" t="s">
        <v>1476</v>
      </c>
      <c r="N219" s="8" t="s">
        <v>41</v>
      </c>
      <c r="O219" s="8" t="s">
        <v>42</v>
      </c>
      <c r="P219" s="6" t="s">
        <v>56</v>
      </c>
      <c r="Q219" s="8" t="s">
        <v>78</v>
      </c>
      <c r="R219" s="10" t="s">
        <v>1477</v>
      </c>
      <c r="S219" s="11"/>
      <c r="T219" s="6"/>
      <c r="U219" s="14" t="str">
        <f>HYPERLINK("https://media.infra-m.ru/2080/2080782/cover/2080782.jpg", "Обложка")</f>
        <v>Обложка</v>
      </c>
      <c r="V219" s="14" t="str">
        <f>HYPERLINK("https://znanium.ru/catalog/product/2080782", "Ознакомиться")</f>
        <v>Ознакомиться</v>
      </c>
      <c r="W219" s="8" t="s">
        <v>1478</v>
      </c>
      <c r="X219" s="6"/>
      <c r="Y219" s="6"/>
      <c r="Z219" s="6"/>
      <c r="AA219" s="6" t="s">
        <v>707</v>
      </c>
      <c r="AB219" s="8"/>
    </row>
    <row r="220" spans="1:28" s="4" customFormat="1" ht="42" customHeight="1" x14ac:dyDescent="0.2">
      <c r="A220" s="5">
        <v>0</v>
      </c>
      <c r="B220" s="6" t="s">
        <v>1479</v>
      </c>
      <c r="C220" s="7">
        <v>1190</v>
      </c>
      <c r="D220" s="8" t="s">
        <v>1480</v>
      </c>
      <c r="E220" s="8" t="s">
        <v>1481</v>
      </c>
      <c r="F220" s="8" t="s">
        <v>1482</v>
      </c>
      <c r="G220" s="6" t="s">
        <v>38</v>
      </c>
      <c r="H220" s="6" t="s">
        <v>39</v>
      </c>
      <c r="I220" s="8" t="s">
        <v>679</v>
      </c>
      <c r="J220" s="9">
        <v>1</v>
      </c>
      <c r="K220" s="9">
        <v>251</v>
      </c>
      <c r="L220" s="9">
        <v>2023</v>
      </c>
      <c r="M220" s="8" t="s">
        <v>1483</v>
      </c>
      <c r="N220" s="8" t="s">
        <v>41</v>
      </c>
      <c r="O220" s="8" t="s">
        <v>42</v>
      </c>
      <c r="P220" s="6" t="s">
        <v>105</v>
      </c>
      <c r="Q220" s="8" t="s">
        <v>106</v>
      </c>
      <c r="R220" s="10" t="s">
        <v>285</v>
      </c>
      <c r="S220" s="11"/>
      <c r="T220" s="6"/>
      <c r="U220" s="14" t="str">
        <f>HYPERLINK("https://media.infra-m.ru/1916/1916083/cover/1916083.jpg", "Обложка")</f>
        <v>Обложка</v>
      </c>
      <c r="V220" s="14" t="str">
        <f>HYPERLINK("https://znanium.ru/catalog/product/2206875", "Ознакомиться")</f>
        <v>Ознакомиться</v>
      </c>
      <c r="W220" s="8" t="s">
        <v>1484</v>
      </c>
      <c r="X220" s="6"/>
      <c r="Y220" s="6"/>
      <c r="Z220" s="6"/>
      <c r="AA220" s="6" t="s">
        <v>59</v>
      </c>
      <c r="AB220" s="8"/>
    </row>
    <row r="221" spans="1:28" s="4" customFormat="1" ht="44.1" customHeight="1" x14ac:dyDescent="0.2">
      <c r="A221" s="5">
        <v>0</v>
      </c>
      <c r="B221" s="6" t="s">
        <v>1485</v>
      </c>
      <c r="C221" s="13">
        <v>994</v>
      </c>
      <c r="D221" s="8" t="s">
        <v>1486</v>
      </c>
      <c r="E221" s="8" t="s">
        <v>1487</v>
      </c>
      <c r="F221" s="8" t="s">
        <v>1488</v>
      </c>
      <c r="G221" s="6" t="s">
        <v>38</v>
      </c>
      <c r="H221" s="6" t="s">
        <v>39</v>
      </c>
      <c r="I221" s="8" t="s">
        <v>54</v>
      </c>
      <c r="J221" s="9">
        <v>1</v>
      </c>
      <c r="K221" s="9">
        <v>217</v>
      </c>
      <c r="L221" s="9">
        <v>2024</v>
      </c>
      <c r="M221" s="8" t="s">
        <v>1489</v>
      </c>
      <c r="N221" s="8" t="s">
        <v>41</v>
      </c>
      <c r="O221" s="8" t="s">
        <v>42</v>
      </c>
      <c r="P221" s="6" t="s">
        <v>56</v>
      </c>
      <c r="Q221" s="8" t="s">
        <v>121</v>
      </c>
      <c r="R221" s="10" t="s">
        <v>1490</v>
      </c>
      <c r="S221" s="11"/>
      <c r="T221" s="6"/>
      <c r="U221" s="14" t="str">
        <f>HYPERLINK("https://media.infra-m.ru/2125/2125932/cover/2125932.jpg", "Обложка")</f>
        <v>Обложка</v>
      </c>
      <c r="V221" s="14" t="str">
        <f>HYPERLINK("https://znanium.ru/catalog/product/1027021", "Ознакомиться")</f>
        <v>Ознакомиться</v>
      </c>
      <c r="W221" s="8" t="s">
        <v>114</v>
      </c>
      <c r="X221" s="6"/>
      <c r="Y221" s="6"/>
      <c r="Z221" s="6"/>
      <c r="AA221" s="6" t="s">
        <v>71</v>
      </c>
      <c r="AB221" s="8"/>
    </row>
    <row r="222" spans="1:28" s="4" customFormat="1" ht="42" customHeight="1" x14ac:dyDescent="0.2">
      <c r="A222" s="5">
        <v>0</v>
      </c>
      <c r="B222" s="6" t="s">
        <v>1491</v>
      </c>
      <c r="C222" s="13">
        <v>930</v>
      </c>
      <c r="D222" s="8" t="s">
        <v>1492</v>
      </c>
      <c r="E222" s="8" t="s">
        <v>1493</v>
      </c>
      <c r="F222" s="8" t="s">
        <v>1494</v>
      </c>
      <c r="G222" s="6" t="s">
        <v>64</v>
      </c>
      <c r="H222" s="6" t="s">
        <v>39</v>
      </c>
      <c r="I222" s="8" t="s">
        <v>103</v>
      </c>
      <c r="J222" s="9">
        <v>1</v>
      </c>
      <c r="K222" s="9">
        <v>180</v>
      </c>
      <c r="L222" s="9">
        <v>2025</v>
      </c>
      <c r="M222" s="8" t="s">
        <v>1495</v>
      </c>
      <c r="N222" s="8" t="s">
        <v>41</v>
      </c>
      <c r="O222" s="8" t="s">
        <v>42</v>
      </c>
      <c r="P222" s="6" t="s">
        <v>105</v>
      </c>
      <c r="Q222" s="8" t="s">
        <v>106</v>
      </c>
      <c r="R222" s="10" t="s">
        <v>911</v>
      </c>
      <c r="S222" s="11"/>
      <c r="T222" s="6"/>
      <c r="U222" s="14" t="str">
        <f>HYPERLINK("https://media.infra-m.ru/2133/2133682/cover/2133682.jpg", "Обложка")</f>
        <v>Обложка</v>
      </c>
      <c r="V222" s="14" t="str">
        <f>HYPERLINK("https://znanium.ru/catalog/product/2133682", "Ознакомиться")</f>
        <v>Ознакомиться</v>
      </c>
      <c r="W222" s="8" t="s">
        <v>940</v>
      </c>
      <c r="X222" s="6"/>
      <c r="Y222" s="6"/>
      <c r="Z222" s="6"/>
      <c r="AA222" s="6" t="s">
        <v>81</v>
      </c>
      <c r="AB222" s="8" t="s">
        <v>1496</v>
      </c>
    </row>
    <row r="223" spans="1:28" s="4" customFormat="1" ht="51.95" customHeight="1" x14ac:dyDescent="0.2">
      <c r="A223" s="5">
        <v>0</v>
      </c>
      <c r="B223" s="6" t="s">
        <v>1497</v>
      </c>
      <c r="C223" s="13">
        <v>660</v>
      </c>
      <c r="D223" s="8" t="s">
        <v>1498</v>
      </c>
      <c r="E223" s="8" t="s">
        <v>1499</v>
      </c>
      <c r="F223" s="8" t="s">
        <v>1500</v>
      </c>
      <c r="G223" s="6" t="s">
        <v>64</v>
      </c>
      <c r="H223" s="6" t="s">
        <v>1189</v>
      </c>
      <c r="I223" s="8"/>
      <c r="J223" s="9">
        <v>1</v>
      </c>
      <c r="K223" s="9">
        <v>80</v>
      </c>
      <c r="L223" s="9">
        <v>2026</v>
      </c>
      <c r="M223" s="8" t="s">
        <v>1501</v>
      </c>
      <c r="N223" s="8" t="s">
        <v>41</v>
      </c>
      <c r="O223" s="8" t="s">
        <v>42</v>
      </c>
      <c r="P223" s="6" t="s">
        <v>105</v>
      </c>
      <c r="Q223" s="8"/>
      <c r="R223" s="10" t="s">
        <v>1502</v>
      </c>
      <c r="S223" s="11"/>
      <c r="T223" s="6"/>
      <c r="U223" s="14" t="str">
        <f>HYPERLINK("https://media.infra-m.ru/2224/2224589/cover/2224589.jpg", "Обложка")</f>
        <v>Обложка</v>
      </c>
      <c r="V223" s="14" t="str">
        <f>HYPERLINK("https://znanium.ru/catalog/product/2221050", "Ознакомиться")</f>
        <v>Ознакомиться</v>
      </c>
      <c r="W223" s="8" t="s">
        <v>152</v>
      </c>
      <c r="X223" s="6"/>
      <c r="Y223" s="6"/>
      <c r="Z223" s="6"/>
      <c r="AA223" s="6" t="s">
        <v>200</v>
      </c>
      <c r="AB223" s="8"/>
    </row>
    <row r="224" spans="1:28" s="4" customFormat="1" ht="51.95" customHeight="1" x14ac:dyDescent="0.2">
      <c r="A224" s="5">
        <v>0</v>
      </c>
      <c r="B224" s="6" t="s">
        <v>1503</v>
      </c>
      <c r="C224" s="7">
        <v>1660</v>
      </c>
      <c r="D224" s="8" t="s">
        <v>1504</v>
      </c>
      <c r="E224" s="8" t="s">
        <v>1505</v>
      </c>
      <c r="F224" s="8" t="s">
        <v>1506</v>
      </c>
      <c r="G224" s="6" t="s">
        <v>53</v>
      </c>
      <c r="H224" s="6" t="s">
        <v>39</v>
      </c>
      <c r="I224" s="8" t="s">
        <v>139</v>
      </c>
      <c r="J224" s="9">
        <v>1</v>
      </c>
      <c r="K224" s="9">
        <v>318</v>
      </c>
      <c r="L224" s="9">
        <v>2026</v>
      </c>
      <c r="M224" s="8" t="s">
        <v>1507</v>
      </c>
      <c r="N224" s="8" t="s">
        <v>41</v>
      </c>
      <c r="O224" s="8" t="s">
        <v>42</v>
      </c>
      <c r="P224" s="6" t="s">
        <v>56</v>
      </c>
      <c r="Q224" s="8" t="s">
        <v>141</v>
      </c>
      <c r="R224" s="10" t="s">
        <v>1016</v>
      </c>
      <c r="S224" s="11" t="s">
        <v>1508</v>
      </c>
      <c r="T224" s="6"/>
      <c r="U224" s="14" t="str">
        <f>HYPERLINK("https://media.infra-m.ru/2219/2219018/cover/2219018.jpg", "Обложка")</f>
        <v>Обложка</v>
      </c>
      <c r="V224" s="14" t="str">
        <f>HYPERLINK("https://znanium.ru/catalog/product/2219018", "Ознакомиться")</f>
        <v>Ознакомиться</v>
      </c>
      <c r="W224" s="8" t="s">
        <v>114</v>
      </c>
      <c r="X224" s="6"/>
      <c r="Y224" s="6"/>
      <c r="Z224" s="6"/>
      <c r="AA224" s="6" t="s">
        <v>1509</v>
      </c>
      <c r="AB224" s="8"/>
    </row>
    <row r="225" spans="1:28" s="4" customFormat="1" ht="51.95" customHeight="1" x14ac:dyDescent="0.2">
      <c r="A225" s="5">
        <v>0</v>
      </c>
      <c r="B225" s="6" t="s">
        <v>1510</v>
      </c>
      <c r="C225" s="7">
        <v>1090</v>
      </c>
      <c r="D225" s="8" t="s">
        <v>1511</v>
      </c>
      <c r="E225" s="8" t="s">
        <v>1512</v>
      </c>
      <c r="F225" s="8" t="s">
        <v>1513</v>
      </c>
      <c r="G225" s="6" t="s">
        <v>53</v>
      </c>
      <c r="H225" s="6" t="s">
        <v>350</v>
      </c>
      <c r="I225" s="8" t="s">
        <v>139</v>
      </c>
      <c r="J225" s="9">
        <v>1</v>
      </c>
      <c r="K225" s="9">
        <v>352</v>
      </c>
      <c r="L225" s="9">
        <v>2018</v>
      </c>
      <c r="M225" s="8" t="s">
        <v>1514</v>
      </c>
      <c r="N225" s="8" t="s">
        <v>41</v>
      </c>
      <c r="O225" s="8" t="s">
        <v>42</v>
      </c>
      <c r="P225" s="6" t="s">
        <v>56</v>
      </c>
      <c r="Q225" s="8" t="s">
        <v>141</v>
      </c>
      <c r="R225" s="10" t="s">
        <v>1016</v>
      </c>
      <c r="S225" s="11" t="s">
        <v>1515</v>
      </c>
      <c r="T225" s="6"/>
      <c r="U225" s="14" t="str">
        <f>HYPERLINK("https://media.infra-m.ru/0915/0915568/cover/915568.jpg", "Обложка")</f>
        <v>Обложка</v>
      </c>
      <c r="V225" s="14" t="str">
        <f>HYPERLINK("https://znanium.ru/catalog/product/2219018", "Ознакомиться")</f>
        <v>Ознакомиться</v>
      </c>
      <c r="W225" s="8" t="s">
        <v>114</v>
      </c>
      <c r="X225" s="6"/>
      <c r="Y225" s="6"/>
      <c r="Z225" s="6"/>
      <c r="AA225" s="6" t="s">
        <v>255</v>
      </c>
      <c r="AB225" s="8"/>
    </row>
    <row r="226" spans="1:28" s="4" customFormat="1" ht="51.95" customHeight="1" x14ac:dyDescent="0.2">
      <c r="A226" s="5">
        <v>0</v>
      </c>
      <c r="B226" s="6" t="s">
        <v>1516</v>
      </c>
      <c r="C226" s="13">
        <v>500</v>
      </c>
      <c r="D226" s="8" t="s">
        <v>1517</v>
      </c>
      <c r="E226" s="8" t="s">
        <v>1518</v>
      </c>
      <c r="F226" s="8" t="s">
        <v>1519</v>
      </c>
      <c r="G226" s="6" t="s">
        <v>64</v>
      </c>
      <c r="H226" s="6" t="s">
        <v>39</v>
      </c>
      <c r="I226" s="8" t="s">
        <v>54</v>
      </c>
      <c r="J226" s="9">
        <v>1</v>
      </c>
      <c r="K226" s="9">
        <v>76</v>
      </c>
      <c r="L226" s="9">
        <v>2026</v>
      </c>
      <c r="M226" s="8" t="s">
        <v>1520</v>
      </c>
      <c r="N226" s="8" t="s">
        <v>41</v>
      </c>
      <c r="O226" s="8" t="s">
        <v>42</v>
      </c>
      <c r="P226" s="6" t="s">
        <v>56</v>
      </c>
      <c r="Q226" s="8" t="s">
        <v>87</v>
      </c>
      <c r="R226" s="10" t="s">
        <v>1521</v>
      </c>
      <c r="S226" s="11" t="s">
        <v>1522</v>
      </c>
      <c r="T226" s="6"/>
      <c r="U226" s="14" t="str">
        <f>HYPERLINK("https://media.infra-m.ru/2218/2218567/cover/2218567.jpg", "Обложка")</f>
        <v>Обложка</v>
      </c>
      <c r="V226" s="14" t="str">
        <f>HYPERLINK("https://znanium.ru/catalog/product/2218567", "Ознакомиться")</f>
        <v>Ознакомиться</v>
      </c>
      <c r="W226" s="8" t="s">
        <v>570</v>
      </c>
      <c r="X226" s="6"/>
      <c r="Y226" s="6"/>
      <c r="Z226" s="6"/>
      <c r="AA226" s="6" t="s">
        <v>71</v>
      </c>
      <c r="AB226" s="8"/>
    </row>
    <row r="227" spans="1:28" s="4" customFormat="1" ht="51.95" customHeight="1" x14ac:dyDescent="0.2">
      <c r="A227" s="5">
        <v>0</v>
      </c>
      <c r="B227" s="6" t="s">
        <v>1523</v>
      </c>
      <c r="C227" s="7">
        <v>1270</v>
      </c>
      <c r="D227" s="8" t="s">
        <v>1524</v>
      </c>
      <c r="E227" s="8" t="s">
        <v>1525</v>
      </c>
      <c r="F227" s="8" t="s">
        <v>1526</v>
      </c>
      <c r="G227" s="6" t="s">
        <v>53</v>
      </c>
      <c r="H227" s="6" t="s">
        <v>39</v>
      </c>
      <c r="I227" s="8" t="s">
        <v>54</v>
      </c>
      <c r="J227" s="9">
        <v>1</v>
      </c>
      <c r="K227" s="9">
        <v>243</v>
      </c>
      <c r="L227" s="9">
        <v>2026</v>
      </c>
      <c r="M227" s="8" t="s">
        <v>1527</v>
      </c>
      <c r="N227" s="8" t="s">
        <v>41</v>
      </c>
      <c r="O227" s="8" t="s">
        <v>42</v>
      </c>
      <c r="P227" s="6" t="s">
        <v>56</v>
      </c>
      <c r="Q227" s="8" t="s">
        <v>121</v>
      </c>
      <c r="R227" s="10" t="s">
        <v>1528</v>
      </c>
      <c r="S227" s="11" t="s">
        <v>1529</v>
      </c>
      <c r="T227" s="6"/>
      <c r="U227" s="14" t="str">
        <f>HYPERLINK("https://media.infra-m.ru/2214/2214798/cover/2214798.jpg", "Обложка")</f>
        <v>Обложка</v>
      </c>
      <c r="V227" s="14" t="str">
        <f>HYPERLINK("https://znanium.ru/catalog/product/2214798", "Ознакомиться")</f>
        <v>Ознакомиться</v>
      </c>
      <c r="W227" s="8" t="s">
        <v>1530</v>
      </c>
      <c r="X227" s="6"/>
      <c r="Y227" s="6"/>
      <c r="Z227" s="6"/>
      <c r="AA227" s="6" t="s">
        <v>330</v>
      </c>
      <c r="AB227" s="8" t="s">
        <v>331</v>
      </c>
    </row>
    <row r="228" spans="1:28" s="4" customFormat="1" ht="51.95" customHeight="1" x14ac:dyDescent="0.2">
      <c r="A228" s="5">
        <v>0</v>
      </c>
      <c r="B228" s="6" t="s">
        <v>1531</v>
      </c>
      <c r="C228" s="7">
        <v>1114</v>
      </c>
      <c r="D228" s="8" t="s">
        <v>1532</v>
      </c>
      <c r="E228" s="8" t="s">
        <v>1533</v>
      </c>
      <c r="F228" s="8" t="s">
        <v>1534</v>
      </c>
      <c r="G228" s="6" t="s">
        <v>38</v>
      </c>
      <c r="H228" s="6" t="s">
        <v>39</v>
      </c>
      <c r="I228" s="8" t="s">
        <v>661</v>
      </c>
      <c r="J228" s="9">
        <v>1</v>
      </c>
      <c r="K228" s="9">
        <v>214</v>
      </c>
      <c r="L228" s="9">
        <v>2025</v>
      </c>
      <c r="M228" s="8" t="s">
        <v>1535</v>
      </c>
      <c r="N228" s="8" t="s">
        <v>41</v>
      </c>
      <c r="O228" s="8" t="s">
        <v>42</v>
      </c>
      <c r="P228" s="6" t="s">
        <v>131</v>
      </c>
      <c r="Q228" s="8" t="s">
        <v>121</v>
      </c>
      <c r="R228" s="10" t="s">
        <v>1536</v>
      </c>
      <c r="S228" s="11" t="s">
        <v>1537</v>
      </c>
      <c r="T228" s="6"/>
      <c r="U228" s="14" t="str">
        <f>HYPERLINK("https://media.infra-m.ru/2211/2211477/cover/2211477.jpg", "Обложка")</f>
        <v>Обложка</v>
      </c>
      <c r="V228" s="14" t="str">
        <f>HYPERLINK("https://znanium.ru/catalog/product/1229322", "Ознакомиться")</f>
        <v>Ознакомиться</v>
      </c>
      <c r="W228" s="8" t="s">
        <v>361</v>
      </c>
      <c r="X228" s="6"/>
      <c r="Y228" s="6"/>
      <c r="Z228" s="6"/>
      <c r="AA228" s="6" t="s">
        <v>220</v>
      </c>
      <c r="AB228" s="8"/>
    </row>
    <row r="229" spans="1:28" s="4" customFormat="1" ht="51.95" customHeight="1" x14ac:dyDescent="0.2">
      <c r="A229" s="5">
        <v>0</v>
      </c>
      <c r="B229" s="6" t="s">
        <v>1538</v>
      </c>
      <c r="C229" s="7">
        <v>1130</v>
      </c>
      <c r="D229" s="8" t="s">
        <v>1539</v>
      </c>
      <c r="E229" s="8" t="s">
        <v>1533</v>
      </c>
      <c r="F229" s="8" t="s">
        <v>1540</v>
      </c>
      <c r="G229" s="6" t="s">
        <v>53</v>
      </c>
      <c r="H229" s="6" t="s">
        <v>39</v>
      </c>
      <c r="I229" s="8" t="s">
        <v>139</v>
      </c>
      <c r="J229" s="9">
        <v>1</v>
      </c>
      <c r="K229" s="9">
        <v>214</v>
      </c>
      <c r="L229" s="9">
        <v>2025</v>
      </c>
      <c r="M229" s="8" t="s">
        <v>1541</v>
      </c>
      <c r="N229" s="8" t="s">
        <v>41</v>
      </c>
      <c r="O229" s="8" t="s">
        <v>42</v>
      </c>
      <c r="P229" s="6" t="s">
        <v>131</v>
      </c>
      <c r="Q229" s="8" t="s">
        <v>141</v>
      </c>
      <c r="R229" s="10" t="s">
        <v>1542</v>
      </c>
      <c r="S229" s="11" t="s">
        <v>1543</v>
      </c>
      <c r="T229" s="6" t="s">
        <v>453</v>
      </c>
      <c r="U229" s="14" t="str">
        <f>HYPERLINK("https://media.infra-m.ru/2208/2208031/cover/2208031.jpg", "Обложка")</f>
        <v>Обложка</v>
      </c>
      <c r="V229" s="14" t="str">
        <f>HYPERLINK("https://znanium.ru/catalog/product/2208031", "Ознакомиться")</f>
        <v>Ознакомиться</v>
      </c>
      <c r="W229" s="8" t="s">
        <v>361</v>
      </c>
      <c r="X229" s="6"/>
      <c r="Y229" s="6"/>
      <c r="Z229" s="6" t="s">
        <v>144</v>
      </c>
      <c r="AA229" s="6" t="s">
        <v>913</v>
      </c>
      <c r="AB229" s="8" t="s">
        <v>1544</v>
      </c>
    </row>
    <row r="230" spans="1:28" s="4" customFormat="1" ht="51.95" customHeight="1" x14ac:dyDescent="0.2">
      <c r="A230" s="5">
        <v>0</v>
      </c>
      <c r="B230" s="6" t="s">
        <v>1545</v>
      </c>
      <c r="C230" s="13">
        <v>871.9</v>
      </c>
      <c r="D230" s="8" t="s">
        <v>1546</v>
      </c>
      <c r="E230" s="8" t="s">
        <v>1547</v>
      </c>
      <c r="F230" s="8" t="s">
        <v>1548</v>
      </c>
      <c r="G230" s="6" t="s">
        <v>38</v>
      </c>
      <c r="H230" s="6" t="s">
        <v>39</v>
      </c>
      <c r="I230" s="8"/>
      <c r="J230" s="9">
        <v>1</v>
      </c>
      <c r="K230" s="9">
        <v>91</v>
      </c>
      <c r="L230" s="9">
        <v>2020</v>
      </c>
      <c r="M230" s="8" t="s">
        <v>1549</v>
      </c>
      <c r="N230" s="8" t="s">
        <v>41</v>
      </c>
      <c r="O230" s="8" t="s">
        <v>42</v>
      </c>
      <c r="P230" s="6" t="s">
        <v>1550</v>
      </c>
      <c r="Q230" s="8" t="s">
        <v>44</v>
      </c>
      <c r="R230" s="10" t="s">
        <v>1551</v>
      </c>
      <c r="S230" s="11"/>
      <c r="T230" s="6"/>
      <c r="U230" s="14" t="str">
        <f>HYPERLINK("https://media.infra-m.ru/1208/1208558/cover/1208558.jpg", "Обложка")</f>
        <v>Обложка</v>
      </c>
      <c r="V230" s="14" t="str">
        <f>HYPERLINK("https://znanium.ru/catalog/product/1232761", "Ознакомиться")</f>
        <v>Ознакомиться</v>
      </c>
      <c r="W230" s="8" t="s">
        <v>884</v>
      </c>
      <c r="X230" s="6"/>
      <c r="Y230" s="6"/>
      <c r="Z230" s="6"/>
      <c r="AA230" s="6" t="s">
        <v>330</v>
      </c>
      <c r="AB230" s="8"/>
    </row>
    <row r="231" spans="1:28" s="4" customFormat="1" ht="51.95" customHeight="1" x14ac:dyDescent="0.2">
      <c r="A231" s="5">
        <v>0</v>
      </c>
      <c r="B231" s="6" t="s">
        <v>1552</v>
      </c>
      <c r="C231" s="13">
        <v>444</v>
      </c>
      <c r="D231" s="8" t="s">
        <v>1553</v>
      </c>
      <c r="E231" s="8" t="s">
        <v>1554</v>
      </c>
      <c r="F231" s="8" t="s">
        <v>1555</v>
      </c>
      <c r="G231" s="6" t="s">
        <v>64</v>
      </c>
      <c r="H231" s="6" t="s">
        <v>277</v>
      </c>
      <c r="I231" s="8"/>
      <c r="J231" s="9">
        <v>1</v>
      </c>
      <c r="K231" s="9">
        <v>96</v>
      </c>
      <c r="L231" s="9">
        <v>2024</v>
      </c>
      <c r="M231" s="8" t="s">
        <v>1556</v>
      </c>
      <c r="N231" s="8" t="s">
        <v>41</v>
      </c>
      <c r="O231" s="8" t="s">
        <v>42</v>
      </c>
      <c r="P231" s="6" t="s">
        <v>56</v>
      </c>
      <c r="Q231" s="8" t="s">
        <v>121</v>
      </c>
      <c r="R231" s="10" t="s">
        <v>1557</v>
      </c>
      <c r="S231" s="11" t="s">
        <v>1558</v>
      </c>
      <c r="T231" s="6"/>
      <c r="U231" s="14" t="str">
        <f>HYPERLINK("https://media.infra-m.ru/2078/2078407/cover/2078407.jpg", "Обложка")</f>
        <v>Обложка</v>
      </c>
      <c r="V231" s="14" t="str">
        <f>HYPERLINK("https://znanium.ru/catalog/product/1840465", "Ознакомиться")</f>
        <v>Ознакомиться</v>
      </c>
      <c r="W231" s="8" t="s">
        <v>361</v>
      </c>
      <c r="X231" s="6"/>
      <c r="Y231" s="6"/>
      <c r="Z231" s="6"/>
      <c r="AA231" s="6" t="s">
        <v>1559</v>
      </c>
      <c r="AB231" s="8"/>
    </row>
    <row r="232" spans="1:28" s="4" customFormat="1" ht="51.95" customHeight="1" x14ac:dyDescent="0.2">
      <c r="A232" s="5">
        <v>0</v>
      </c>
      <c r="B232" s="6" t="s">
        <v>1560</v>
      </c>
      <c r="C232" s="7">
        <v>1944</v>
      </c>
      <c r="D232" s="8" t="s">
        <v>1561</v>
      </c>
      <c r="E232" s="8" t="s">
        <v>1562</v>
      </c>
      <c r="F232" s="8" t="s">
        <v>1563</v>
      </c>
      <c r="G232" s="6" t="s">
        <v>38</v>
      </c>
      <c r="H232" s="6" t="s">
        <v>39</v>
      </c>
      <c r="I232" s="8" t="s">
        <v>661</v>
      </c>
      <c r="J232" s="9">
        <v>1</v>
      </c>
      <c r="K232" s="9">
        <v>423</v>
      </c>
      <c r="L232" s="9">
        <v>2024</v>
      </c>
      <c r="M232" s="8" t="s">
        <v>1564</v>
      </c>
      <c r="N232" s="8" t="s">
        <v>41</v>
      </c>
      <c r="O232" s="8" t="s">
        <v>488</v>
      </c>
      <c r="P232" s="6" t="s">
        <v>131</v>
      </c>
      <c r="Q232" s="8" t="s">
        <v>121</v>
      </c>
      <c r="R232" s="10" t="s">
        <v>1273</v>
      </c>
      <c r="S232" s="11" t="s">
        <v>1565</v>
      </c>
      <c r="T232" s="6"/>
      <c r="U232" s="14" t="str">
        <f>HYPERLINK("https://media.infra-m.ru/2124/2124923/cover/2124923.jpg", "Обложка")</f>
        <v>Обложка</v>
      </c>
      <c r="V232" s="14" t="str">
        <f>HYPERLINK("https://znanium.ru/catalog/product/2124923", "Ознакомиться")</f>
        <v>Ознакомиться</v>
      </c>
      <c r="W232" s="8" t="s">
        <v>1566</v>
      </c>
      <c r="X232" s="6"/>
      <c r="Y232" s="6"/>
      <c r="Z232" s="6"/>
      <c r="AA232" s="6" t="s">
        <v>125</v>
      </c>
      <c r="AB232" s="8"/>
    </row>
    <row r="233" spans="1:28" s="4" customFormat="1" ht="42" customHeight="1" x14ac:dyDescent="0.2">
      <c r="A233" s="5">
        <v>0</v>
      </c>
      <c r="B233" s="6" t="s">
        <v>1567</v>
      </c>
      <c r="C233" s="7">
        <v>1039</v>
      </c>
      <c r="D233" s="8" t="s">
        <v>1568</v>
      </c>
      <c r="E233" s="8" t="s">
        <v>1569</v>
      </c>
      <c r="F233" s="8" t="s">
        <v>1570</v>
      </c>
      <c r="G233" s="6" t="s">
        <v>38</v>
      </c>
      <c r="H233" s="6" t="s">
        <v>39</v>
      </c>
      <c r="I233" s="8" t="s">
        <v>76</v>
      </c>
      <c r="J233" s="9">
        <v>1</v>
      </c>
      <c r="K233" s="9">
        <v>112</v>
      </c>
      <c r="L233" s="9">
        <v>2026</v>
      </c>
      <c r="M233" s="8" t="s">
        <v>1571</v>
      </c>
      <c r="N233" s="8" t="s">
        <v>41</v>
      </c>
      <c r="O233" s="8" t="s">
        <v>42</v>
      </c>
      <c r="P233" s="6" t="s">
        <v>43</v>
      </c>
      <c r="Q233" s="8" t="s">
        <v>44</v>
      </c>
      <c r="R233" s="10" t="s">
        <v>1572</v>
      </c>
      <c r="S233" s="11"/>
      <c r="T233" s="6"/>
      <c r="U233" s="14" t="str">
        <f>HYPERLINK("https://media.infra-m.ru/2221/2221296/cover/2221296.jpg", "Обложка")</f>
        <v>Обложка</v>
      </c>
      <c r="V233" s="14" t="str">
        <f>HYPERLINK("https://znanium.ru/catalog/product/2221296", "Ознакомиться")</f>
        <v>Ознакомиться</v>
      </c>
      <c r="W233" s="8" t="s">
        <v>47</v>
      </c>
      <c r="X233" s="6" t="s">
        <v>1073</v>
      </c>
      <c r="Y233" s="6"/>
      <c r="Z233" s="6"/>
      <c r="AA233" s="6" t="s">
        <v>200</v>
      </c>
      <c r="AB233" s="8"/>
    </row>
    <row r="234" spans="1:28" s="4" customFormat="1" ht="51.95" customHeight="1" x14ac:dyDescent="0.2">
      <c r="A234" s="5">
        <v>0</v>
      </c>
      <c r="B234" s="6" t="s">
        <v>1573</v>
      </c>
      <c r="C234" s="7">
        <v>1490</v>
      </c>
      <c r="D234" s="8" t="s">
        <v>1574</v>
      </c>
      <c r="E234" s="8" t="s">
        <v>1575</v>
      </c>
      <c r="F234" s="8" t="s">
        <v>1576</v>
      </c>
      <c r="G234" s="6" t="s">
        <v>53</v>
      </c>
      <c r="H234" s="6" t="s">
        <v>39</v>
      </c>
      <c r="I234" s="8" t="s">
        <v>283</v>
      </c>
      <c r="J234" s="9">
        <v>1</v>
      </c>
      <c r="K234" s="9">
        <v>317</v>
      </c>
      <c r="L234" s="9">
        <v>2023</v>
      </c>
      <c r="M234" s="8" t="s">
        <v>1577</v>
      </c>
      <c r="N234" s="8" t="s">
        <v>41</v>
      </c>
      <c r="O234" s="8" t="s">
        <v>42</v>
      </c>
      <c r="P234" s="6" t="s">
        <v>56</v>
      </c>
      <c r="Q234" s="8" t="s">
        <v>87</v>
      </c>
      <c r="R234" s="10" t="s">
        <v>97</v>
      </c>
      <c r="S234" s="11" t="s">
        <v>706</v>
      </c>
      <c r="T234" s="6"/>
      <c r="U234" s="14" t="str">
        <f>HYPERLINK("https://media.infra-m.ru/1938/1938023/cover/1938023.jpg", "Обложка")</f>
        <v>Обложка</v>
      </c>
      <c r="V234" s="14" t="str">
        <f>HYPERLINK("https://znanium.ru/catalog/product/1938023", "Ознакомиться")</f>
        <v>Ознакомиться</v>
      </c>
      <c r="W234" s="8" t="s">
        <v>175</v>
      </c>
      <c r="X234" s="6"/>
      <c r="Y234" s="6"/>
      <c r="Z234" s="6"/>
      <c r="AA234" s="6" t="s">
        <v>707</v>
      </c>
      <c r="AB234" s="8"/>
    </row>
    <row r="235" spans="1:28" s="4" customFormat="1" ht="51.95" customHeight="1" x14ac:dyDescent="0.2">
      <c r="A235" s="5">
        <v>0</v>
      </c>
      <c r="B235" s="6" t="s">
        <v>1578</v>
      </c>
      <c r="C235" s="7">
        <v>1320</v>
      </c>
      <c r="D235" s="8" t="s">
        <v>1579</v>
      </c>
      <c r="E235" s="8" t="s">
        <v>1580</v>
      </c>
      <c r="F235" s="8" t="s">
        <v>1576</v>
      </c>
      <c r="G235" s="6" t="s">
        <v>53</v>
      </c>
      <c r="H235" s="6" t="s">
        <v>39</v>
      </c>
      <c r="I235" s="8" t="s">
        <v>283</v>
      </c>
      <c r="J235" s="9">
        <v>1</v>
      </c>
      <c r="K235" s="9">
        <v>312</v>
      </c>
      <c r="L235" s="9">
        <v>2022</v>
      </c>
      <c r="M235" s="8" t="s">
        <v>1581</v>
      </c>
      <c r="N235" s="8" t="s">
        <v>41</v>
      </c>
      <c r="O235" s="8" t="s">
        <v>42</v>
      </c>
      <c r="P235" s="6" t="s">
        <v>56</v>
      </c>
      <c r="Q235" s="8" t="s">
        <v>87</v>
      </c>
      <c r="R235" s="10" t="s">
        <v>97</v>
      </c>
      <c r="S235" s="11" t="s">
        <v>706</v>
      </c>
      <c r="T235" s="6"/>
      <c r="U235" s="14" t="str">
        <f>HYPERLINK("https://media.infra-m.ru/1863/1863411/cover/1863411.jpg", "Обложка")</f>
        <v>Обложка</v>
      </c>
      <c r="V235" s="14" t="str">
        <f>HYPERLINK("https://znanium.ru/catalog/product/1938023", "Ознакомиться")</f>
        <v>Ознакомиться</v>
      </c>
      <c r="W235" s="8" t="s">
        <v>175</v>
      </c>
      <c r="X235" s="6"/>
      <c r="Y235" s="6"/>
      <c r="Z235" s="6"/>
      <c r="AA235" s="6" t="s">
        <v>107</v>
      </c>
      <c r="AB235" s="8"/>
    </row>
    <row r="236" spans="1:28" s="4" customFormat="1" ht="51.95" customHeight="1" x14ac:dyDescent="0.2">
      <c r="A236" s="5">
        <v>0</v>
      </c>
      <c r="B236" s="6" t="s">
        <v>1582</v>
      </c>
      <c r="C236" s="7">
        <v>3390</v>
      </c>
      <c r="D236" s="8" t="s">
        <v>1583</v>
      </c>
      <c r="E236" s="8" t="s">
        <v>1584</v>
      </c>
      <c r="F236" s="8" t="s">
        <v>1253</v>
      </c>
      <c r="G236" s="6" t="s">
        <v>38</v>
      </c>
      <c r="H236" s="6" t="s">
        <v>39</v>
      </c>
      <c r="I236" s="8" t="s">
        <v>283</v>
      </c>
      <c r="J236" s="9">
        <v>1</v>
      </c>
      <c r="K236" s="9">
        <v>722</v>
      </c>
      <c r="L236" s="9">
        <v>2024</v>
      </c>
      <c r="M236" s="8" t="s">
        <v>1585</v>
      </c>
      <c r="N236" s="8" t="s">
        <v>41</v>
      </c>
      <c r="O236" s="8" t="s">
        <v>42</v>
      </c>
      <c r="P236" s="6" t="s">
        <v>131</v>
      </c>
      <c r="Q236" s="8" t="s">
        <v>87</v>
      </c>
      <c r="R236" s="10" t="s">
        <v>97</v>
      </c>
      <c r="S236" s="11" t="s">
        <v>1586</v>
      </c>
      <c r="T236" s="6" t="s">
        <v>453</v>
      </c>
      <c r="U236" s="14" t="str">
        <f>HYPERLINK("https://media.infra-m.ru/2058/2058760/cover/2058760.jpg", "Обложка")</f>
        <v>Обложка</v>
      </c>
      <c r="V236" s="14" t="str">
        <f>HYPERLINK("https://znanium.ru/catalog/product/2058760", "Ознакомиться")</f>
        <v>Ознакомиться</v>
      </c>
      <c r="W236" s="8" t="s">
        <v>114</v>
      </c>
      <c r="X236" s="6"/>
      <c r="Y236" s="6"/>
      <c r="Z236" s="6"/>
      <c r="AA236" s="6" t="s">
        <v>115</v>
      </c>
      <c r="AB236" s="8"/>
    </row>
    <row r="237" spans="1:28" s="4" customFormat="1" ht="51.95" customHeight="1" x14ac:dyDescent="0.2">
      <c r="A237" s="5">
        <v>0</v>
      </c>
      <c r="B237" s="6" t="s">
        <v>1587</v>
      </c>
      <c r="C237" s="7">
        <v>1850</v>
      </c>
      <c r="D237" s="8" t="s">
        <v>1588</v>
      </c>
      <c r="E237" s="8" t="s">
        <v>1589</v>
      </c>
      <c r="F237" s="8" t="s">
        <v>1590</v>
      </c>
      <c r="G237" s="6" t="s">
        <v>38</v>
      </c>
      <c r="H237" s="6" t="s">
        <v>39</v>
      </c>
      <c r="I237" s="8" t="s">
        <v>76</v>
      </c>
      <c r="J237" s="9">
        <v>1</v>
      </c>
      <c r="K237" s="9">
        <v>333</v>
      </c>
      <c r="L237" s="9">
        <v>2026</v>
      </c>
      <c r="M237" s="8" t="s">
        <v>1591</v>
      </c>
      <c r="N237" s="8" t="s">
        <v>41</v>
      </c>
      <c r="O237" s="8" t="s">
        <v>42</v>
      </c>
      <c r="P237" s="6" t="s">
        <v>56</v>
      </c>
      <c r="Q237" s="8" t="s">
        <v>44</v>
      </c>
      <c r="R237" s="10" t="s">
        <v>1592</v>
      </c>
      <c r="S237" s="11"/>
      <c r="T237" s="6"/>
      <c r="U237" s="14" t="str">
        <f>HYPERLINK("https://media.infra-m.ru/2210/2210368/cover/2210368.jpg", "Обложка")</f>
        <v>Обложка</v>
      </c>
      <c r="V237" s="14" t="str">
        <f>HYPERLINK("https://znanium.ru/catalog/product/2210368", "Ознакомиться")</f>
        <v>Ознакомиться</v>
      </c>
      <c r="W237" s="8" t="s">
        <v>47</v>
      </c>
      <c r="X237" s="6" t="s">
        <v>199</v>
      </c>
      <c r="Y237" s="6"/>
      <c r="Z237" s="6"/>
      <c r="AA237" s="6" t="s">
        <v>200</v>
      </c>
      <c r="AB237" s="8"/>
    </row>
    <row r="238" spans="1:28" s="4" customFormat="1" ht="51.95" customHeight="1" x14ac:dyDescent="0.2">
      <c r="A238" s="5">
        <v>0</v>
      </c>
      <c r="B238" s="6" t="s">
        <v>1593</v>
      </c>
      <c r="C238" s="7">
        <v>2494</v>
      </c>
      <c r="D238" s="8" t="s">
        <v>1594</v>
      </c>
      <c r="E238" s="8" t="s">
        <v>1595</v>
      </c>
      <c r="F238" s="8" t="s">
        <v>1596</v>
      </c>
      <c r="G238" s="6" t="s">
        <v>38</v>
      </c>
      <c r="H238" s="6" t="s">
        <v>39</v>
      </c>
      <c r="I238" s="8" t="s">
        <v>54</v>
      </c>
      <c r="J238" s="9">
        <v>1</v>
      </c>
      <c r="K238" s="9">
        <v>454</v>
      </c>
      <c r="L238" s="9">
        <v>2026</v>
      </c>
      <c r="M238" s="8" t="s">
        <v>1597</v>
      </c>
      <c r="N238" s="8" t="s">
        <v>41</v>
      </c>
      <c r="O238" s="8" t="s">
        <v>42</v>
      </c>
      <c r="P238" s="6" t="s">
        <v>131</v>
      </c>
      <c r="Q238" s="8" t="s">
        <v>87</v>
      </c>
      <c r="R238" s="10" t="s">
        <v>1041</v>
      </c>
      <c r="S238" s="11" t="s">
        <v>1598</v>
      </c>
      <c r="T238" s="6"/>
      <c r="U238" s="14" t="str">
        <f>HYPERLINK("https://media.infra-m.ru/2222/2222148/cover/2222148.jpg", "Обложка")</f>
        <v>Обложка</v>
      </c>
      <c r="V238" s="14" t="str">
        <f>HYPERLINK("https://znanium.ru/catalog/product/2170985", "Ознакомиться")</f>
        <v>Ознакомиться</v>
      </c>
      <c r="W238" s="8" t="s">
        <v>1599</v>
      </c>
      <c r="X238" s="6"/>
      <c r="Y238" s="6"/>
      <c r="Z238" s="6"/>
      <c r="AA238" s="6" t="s">
        <v>272</v>
      </c>
      <c r="AB238" s="8"/>
    </row>
    <row r="239" spans="1:28" s="4" customFormat="1" ht="51.95" customHeight="1" x14ac:dyDescent="0.2">
      <c r="A239" s="5">
        <v>0</v>
      </c>
      <c r="B239" s="6" t="s">
        <v>1600</v>
      </c>
      <c r="C239" s="7">
        <v>2900</v>
      </c>
      <c r="D239" s="8" t="s">
        <v>1601</v>
      </c>
      <c r="E239" s="8" t="s">
        <v>1602</v>
      </c>
      <c r="F239" s="8" t="s">
        <v>1596</v>
      </c>
      <c r="G239" s="6" t="s">
        <v>38</v>
      </c>
      <c r="H239" s="6" t="s">
        <v>39</v>
      </c>
      <c r="I239" s="8" t="s">
        <v>283</v>
      </c>
      <c r="J239" s="9">
        <v>1</v>
      </c>
      <c r="K239" s="9">
        <v>639</v>
      </c>
      <c r="L239" s="9">
        <v>2023</v>
      </c>
      <c r="M239" s="8" t="s">
        <v>1603</v>
      </c>
      <c r="N239" s="8" t="s">
        <v>41</v>
      </c>
      <c r="O239" s="8" t="s">
        <v>42</v>
      </c>
      <c r="P239" s="6" t="s">
        <v>131</v>
      </c>
      <c r="Q239" s="8" t="s">
        <v>87</v>
      </c>
      <c r="R239" s="10" t="s">
        <v>1536</v>
      </c>
      <c r="S239" s="11" t="s">
        <v>1604</v>
      </c>
      <c r="T239" s="6" t="s">
        <v>453</v>
      </c>
      <c r="U239" s="14" t="str">
        <f>HYPERLINK("https://media.infra-m.ru/1911/1911118/cover/1911118.jpg", "Обложка")</f>
        <v>Обложка</v>
      </c>
      <c r="V239" s="14" t="str">
        <f>HYPERLINK("https://znanium.ru/catalog/product/1911118", "Ознакомиться")</f>
        <v>Ознакомиться</v>
      </c>
      <c r="W239" s="8" t="s">
        <v>1599</v>
      </c>
      <c r="X239" s="6"/>
      <c r="Y239" s="6"/>
      <c r="Z239" s="6"/>
      <c r="AA239" s="6" t="s">
        <v>549</v>
      </c>
      <c r="AB239" s="8"/>
    </row>
    <row r="240" spans="1:28" s="4" customFormat="1" ht="51.95" customHeight="1" x14ac:dyDescent="0.2">
      <c r="A240" s="5">
        <v>0</v>
      </c>
      <c r="B240" s="6" t="s">
        <v>1605</v>
      </c>
      <c r="C240" s="7">
        <v>1860</v>
      </c>
      <c r="D240" s="8" t="s">
        <v>1606</v>
      </c>
      <c r="E240" s="8" t="s">
        <v>1607</v>
      </c>
      <c r="F240" s="8" t="s">
        <v>1608</v>
      </c>
      <c r="G240" s="6" t="s">
        <v>53</v>
      </c>
      <c r="H240" s="6" t="s">
        <v>39</v>
      </c>
      <c r="I240" s="8" t="s">
        <v>139</v>
      </c>
      <c r="J240" s="9">
        <v>1</v>
      </c>
      <c r="K240" s="9">
        <v>351</v>
      </c>
      <c r="L240" s="9">
        <v>2026</v>
      </c>
      <c r="M240" s="8" t="s">
        <v>1609</v>
      </c>
      <c r="N240" s="8" t="s">
        <v>41</v>
      </c>
      <c r="O240" s="8" t="s">
        <v>42</v>
      </c>
      <c r="P240" s="6" t="s">
        <v>56</v>
      </c>
      <c r="Q240" s="8" t="s">
        <v>141</v>
      </c>
      <c r="R240" s="10" t="s">
        <v>1610</v>
      </c>
      <c r="S240" s="11" t="s">
        <v>1611</v>
      </c>
      <c r="T240" s="6" t="s">
        <v>453</v>
      </c>
      <c r="U240" s="14" t="str">
        <f>HYPERLINK("https://media.infra-m.ru/2210/2210350/cover/2210350.jpg", "Обложка")</f>
        <v>Обложка</v>
      </c>
      <c r="V240" s="14" t="str">
        <f>HYPERLINK("https://znanium.ru/catalog/product/2210350", "Ознакомиться")</f>
        <v>Ознакомиться</v>
      </c>
      <c r="W240" s="8" t="s">
        <v>306</v>
      </c>
      <c r="X240" s="6"/>
      <c r="Y240" s="6"/>
      <c r="Z240" s="6" t="s">
        <v>144</v>
      </c>
      <c r="AA240" s="6" t="s">
        <v>1612</v>
      </c>
      <c r="AB240" s="8"/>
    </row>
    <row r="241" spans="1:28" s="4" customFormat="1" ht="51.95" customHeight="1" x14ac:dyDescent="0.2">
      <c r="A241" s="5">
        <v>0</v>
      </c>
      <c r="B241" s="6" t="s">
        <v>1613</v>
      </c>
      <c r="C241" s="7">
        <v>1614</v>
      </c>
      <c r="D241" s="8" t="s">
        <v>1614</v>
      </c>
      <c r="E241" s="8" t="s">
        <v>1607</v>
      </c>
      <c r="F241" s="8" t="s">
        <v>1615</v>
      </c>
      <c r="G241" s="6" t="s">
        <v>38</v>
      </c>
      <c r="H241" s="6" t="s">
        <v>39</v>
      </c>
      <c r="I241" s="8" t="s">
        <v>661</v>
      </c>
      <c r="J241" s="9">
        <v>1</v>
      </c>
      <c r="K241" s="9">
        <v>351</v>
      </c>
      <c r="L241" s="9">
        <v>2024</v>
      </c>
      <c r="M241" s="8" t="s">
        <v>1616</v>
      </c>
      <c r="N241" s="8" t="s">
        <v>41</v>
      </c>
      <c r="O241" s="8" t="s">
        <v>42</v>
      </c>
      <c r="P241" s="6" t="s">
        <v>56</v>
      </c>
      <c r="Q241" s="8" t="s">
        <v>121</v>
      </c>
      <c r="R241" s="10" t="s">
        <v>1617</v>
      </c>
      <c r="S241" s="11"/>
      <c r="T241" s="6"/>
      <c r="U241" s="14" t="str">
        <f>HYPERLINK("https://media.infra-m.ru/2099/2099056/cover/2099056.jpg", "Обложка")</f>
        <v>Обложка</v>
      </c>
      <c r="V241" s="14" t="str">
        <f>HYPERLINK("https://znanium.ru/catalog/product/2099056", "Ознакомиться")</f>
        <v>Ознакомиться</v>
      </c>
      <c r="W241" s="8" t="s">
        <v>306</v>
      </c>
      <c r="X241" s="6"/>
      <c r="Y241" s="6"/>
      <c r="Z241" s="6"/>
      <c r="AA241" s="6" t="s">
        <v>220</v>
      </c>
      <c r="AB241" s="8"/>
    </row>
    <row r="242" spans="1:28" s="4" customFormat="1" ht="51.95" customHeight="1" x14ac:dyDescent="0.2">
      <c r="A242" s="5">
        <v>0</v>
      </c>
      <c r="B242" s="6" t="s">
        <v>1618</v>
      </c>
      <c r="C242" s="13">
        <v>870</v>
      </c>
      <c r="D242" s="8" t="s">
        <v>1619</v>
      </c>
      <c r="E242" s="8" t="s">
        <v>1620</v>
      </c>
      <c r="F242" s="8" t="s">
        <v>1621</v>
      </c>
      <c r="G242" s="6" t="s">
        <v>53</v>
      </c>
      <c r="H242" s="6" t="s">
        <v>39</v>
      </c>
      <c r="I242" s="8" t="s">
        <v>661</v>
      </c>
      <c r="J242" s="9">
        <v>1</v>
      </c>
      <c r="K242" s="9">
        <v>192</v>
      </c>
      <c r="L242" s="9">
        <v>2023</v>
      </c>
      <c r="M242" s="8" t="s">
        <v>1622</v>
      </c>
      <c r="N242" s="8" t="s">
        <v>41</v>
      </c>
      <c r="O242" s="8" t="s">
        <v>42</v>
      </c>
      <c r="P242" s="6" t="s">
        <v>56</v>
      </c>
      <c r="Q242" s="8" t="s">
        <v>121</v>
      </c>
      <c r="R242" s="10" t="s">
        <v>1623</v>
      </c>
      <c r="S242" s="11" t="s">
        <v>1624</v>
      </c>
      <c r="T242" s="6"/>
      <c r="U242" s="14" t="str">
        <f>HYPERLINK("https://media.infra-m.ru/1914/1914156/cover/1914156.jpg", "Обложка")</f>
        <v>Обложка</v>
      </c>
      <c r="V242" s="14" t="str">
        <f>HYPERLINK("https://znanium.ru/catalog/product/1914156", "Ознакомиться")</f>
        <v>Ознакомиться</v>
      </c>
      <c r="W242" s="8" t="s">
        <v>306</v>
      </c>
      <c r="X242" s="6"/>
      <c r="Y242" s="6"/>
      <c r="Z242" s="6"/>
      <c r="AA242" s="6" t="s">
        <v>125</v>
      </c>
      <c r="AB242" s="8"/>
    </row>
    <row r="243" spans="1:28" s="4" customFormat="1" ht="44.1" customHeight="1" x14ac:dyDescent="0.2">
      <c r="A243" s="5">
        <v>0</v>
      </c>
      <c r="B243" s="6" t="s">
        <v>1625</v>
      </c>
      <c r="C243" s="13">
        <v>980</v>
      </c>
      <c r="D243" s="8" t="s">
        <v>1626</v>
      </c>
      <c r="E243" s="8" t="s">
        <v>1627</v>
      </c>
      <c r="F243" s="8" t="s">
        <v>1628</v>
      </c>
      <c r="G243" s="6" t="s">
        <v>38</v>
      </c>
      <c r="H243" s="6" t="s">
        <v>39</v>
      </c>
      <c r="I243" s="8" t="s">
        <v>76</v>
      </c>
      <c r="J243" s="9">
        <v>1</v>
      </c>
      <c r="K243" s="9">
        <v>146</v>
      </c>
      <c r="L243" s="9">
        <v>2026</v>
      </c>
      <c r="M243" s="8" t="s">
        <v>1629</v>
      </c>
      <c r="N243" s="8" t="s">
        <v>41</v>
      </c>
      <c r="O243" s="8" t="s">
        <v>42</v>
      </c>
      <c r="P243" s="6" t="s">
        <v>43</v>
      </c>
      <c r="Q243" s="8" t="s">
        <v>44</v>
      </c>
      <c r="R243" s="10" t="s">
        <v>1630</v>
      </c>
      <c r="S243" s="11"/>
      <c r="T243" s="6"/>
      <c r="U243" s="14" t="str">
        <f>HYPERLINK("https://media.infra-m.ru/2221/2221297/cover/2221297.jpg", "Обложка")</f>
        <v>Обложка</v>
      </c>
      <c r="V243" s="14" t="str">
        <f>HYPERLINK("https://znanium.ru/catalog/product/2221297", "Ознакомиться")</f>
        <v>Ознакомиться</v>
      </c>
      <c r="W243" s="8" t="s">
        <v>47</v>
      </c>
      <c r="X243" s="6" t="s">
        <v>199</v>
      </c>
      <c r="Y243" s="6"/>
      <c r="Z243" s="6"/>
      <c r="AA243" s="6" t="s">
        <v>200</v>
      </c>
      <c r="AB243" s="8"/>
    </row>
    <row r="244" spans="1:28" s="4" customFormat="1" ht="51.95" customHeight="1" x14ac:dyDescent="0.2">
      <c r="A244" s="5">
        <v>0</v>
      </c>
      <c r="B244" s="6" t="s">
        <v>1631</v>
      </c>
      <c r="C244" s="7">
        <v>2500</v>
      </c>
      <c r="D244" s="8" t="s">
        <v>1632</v>
      </c>
      <c r="E244" s="8" t="s">
        <v>1633</v>
      </c>
      <c r="F244" s="8" t="s">
        <v>1634</v>
      </c>
      <c r="G244" s="6" t="s">
        <v>53</v>
      </c>
      <c r="H244" s="6" t="s">
        <v>39</v>
      </c>
      <c r="I244" s="8" t="s">
        <v>283</v>
      </c>
      <c r="J244" s="9">
        <v>1</v>
      </c>
      <c r="K244" s="9">
        <v>574</v>
      </c>
      <c r="L244" s="9">
        <v>2021</v>
      </c>
      <c r="M244" s="8" t="s">
        <v>1635</v>
      </c>
      <c r="N244" s="8" t="s">
        <v>41</v>
      </c>
      <c r="O244" s="8" t="s">
        <v>42</v>
      </c>
      <c r="P244" s="6" t="s">
        <v>131</v>
      </c>
      <c r="Q244" s="8" t="s">
        <v>87</v>
      </c>
      <c r="R244" s="10" t="s">
        <v>1636</v>
      </c>
      <c r="S244" s="11" t="s">
        <v>1637</v>
      </c>
      <c r="T244" s="6" t="s">
        <v>453</v>
      </c>
      <c r="U244" s="14" t="str">
        <f>HYPERLINK("https://media.infra-m.ru/1214/1214590/cover/1214590.jpg", "Обложка")</f>
        <v>Обложка</v>
      </c>
      <c r="V244" s="14" t="str">
        <f>HYPERLINK("https://znanium.ru/catalog/product/2180169", "Ознакомиться")</f>
        <v>Ознакомиться</v>
      </c>
      <c r="W244" s="8" t="s">
        <v>159</v>
      </c>
      <c r="X244" s="6"/>
      <c r="Y244" s="6"/>
      <c r="Z244" s="6"/>
      <c r="AA244" s="6" t="s">
        <v>135</v>
      </c>
      <c r="AB244" s="8"/>
    </row>
    <row r="245" spans="1:28" s="4" customFormat="1" ht="51.95" customHeight="1" x14ac:dyDescent="0.2">
      <c r="A245" s="5">
        <v>0</v>
      </c>
      <c r="B245" s="6" t="s">
        <v>1638</v>
      </c>
      <c r="C245" s="7">
        <v>1750</v>
      </c>
      <c r="D245" s="8" t="s">
        <v>1639</v>
      </c>
      <c r="E245" s="8" t="s">
        <v>1640</v>
      </c>
      <c r="F245" s="8" t="s">
        <v>1641</v>
      </c>
      <c r="G245" s="6" t="s">
        <v>53</v>
      </c>
      <c r="H245" s="6" t="s">
        <v>39</v>
      </c>
      <c r="I245" s="8" t="s">
        <v>54</v>
      </c>
      <c r="J245" s="9">
        <v>1</v>
      </c>
      <c r="K245" s="9">
        <v>336</v>
      </c>
      <c r="L245" s="9">
        <v>2025</v>
      </c>
      <c r="M245" s="8" t="s">
        <v>1642</v>
      </c>
      <c r="N245" s="8" t="s">
        <v>41</v>
      </c>
      <c r="O245" s="8" t="s">
        <v>42</v>
      </c>
      <c r="P245" s="6" t="s">
        <v>131</v>
      </c>
      <c r="Q245" s="8" t="s">
        <v>121</v>
      </c>
      <c r="R245" s="10" t="s">
        <v>1643</v>
      </c>
      <c r="S245" s="11" t="s">
        <v>1644</v>
      </c>
      <c r="T245" s="6"/>
      <c r="U245" s="14" t="str">
        <f>HYPERLINK("https://media.infra-m.ru/2126/2126890/cover/2126890.jpg", "Обложка")</f>
        <v>Обложка</v>
      </c>
      <c r="V245" s="14" t="str">
        <f>HYPERLINK("https://znanium.ru/catalog/product/2126890", "Ознакомиться")</f>
        <v>Ознакомиться</v>
      </c>
      <c r="W245" s="8" t="s">
        <v>1645</v>
      </c>
      <c r="X245" s="6"/>
      <c r="Y245" s="6"/>
      <c r="Z245" s="6"/>
      <c r="AA245" s="6" t="s">
        <v>549</v>
      </c>
      <c r="AB245" s="8"/>
    </row>
    <row r="246" spans="1:28" s="4" customFormat="1" ht="51.95" customHeight="1" x14ac:dyDescent="0.2">
      <c r="A246" s="5">
        <v>0</v>
      </c>
      <c r="B246" s="6" t="s">
        <v>1646</v>
      </c>
      <c r="C246" s="7">
        <v>1690</v>
      </c>
      <c r="D246" s="8" t="s">
        <v>1647</v>
      </c>
      <c r="E246" s="8" t="s">
        <v>1640</v>
      </c>
      <c r="F246" s="8" t="s">
        <v>1641</v>
      </c>
      <c r="G246" s="6" t="s">
        <v>38</v>
      </c>
      <c r="H246" s="6" t="s">
        <v>39</v>
      </c>
      <c r="I246" s="8" t="s">
        <v>139</v>
      </c>
      <c r="J246" s="9">
        <v>1</v>
      </c>
      <c r="K246" s="9">
        <v>336</v>
      </c>
      <c r="L246" s="9">
        <v>2025</v>
      </c>
      <c r="M246" s="8" t="s">
        <v>1648</v>
      </c>
      <c r="N246" s="8" t="s">
        <v>41</v>
      </c>
      <c r="O246" s="8" t="s">
        <v>42</v>
      </c>
      <c r="P246" s="6" t="s">
        <v>131</v>
      </c>
      <c r="Q246" s="8" t="s">
        <v>141</v>
      </c>
      <c r="R246" s="10" t="s">
        <v>1649</v>
      </c>
      <c r="S246" s="11"/>
      <c r="T246" s="6"/>
      <c r="U246" s="14" t="str">
        <f>HYPERLINK("https://media.infra-m.ru/2169/2169778/cover/2169778.jpg", "Обложка")</f>
        <v>Обложка</v>
      </c>
      <c r="V246" s="14" t="str">
        <f>HYPERLINK("https://znanium.ru/catalog/product/2169778", "Ознакомиться")</f>
        <v>Ознакомиться</v>
      </c>
      <c r="W246" s="8" t="s">
        <v>1645</v>
      </c>
      <c r="X246" s="6"/>
      <c r="Y246" s="6"/>
      <c r="Z246" s="6" t="s">
        <v>144</v>
      </c>
      <c r="AA246" s="6" t="s">
        <v>81</v>
      </c>
      <c r="AB246" s="8"/>
    </row>
    <row r="247" spans="1:28" s="4" customFormat="1" ht="51.95" customHeight="1" x14ac:dyDescent="0.2">
      <c r="A247" s="5">
        <v>0</v>
      </c>
      <c r="B247" s="6" t="s">
        <v>1650</v>
      </c>
      <c r="C247" s="7">
        <v>1990</v>
      </c>
      <c r="D247" s="8" t="s">
        <v>1651</v>
      </c>
      <c r="E247" s="8" t="s">
        <v>1652</v>
      </c>
      <c r="F247" s="8" t="s">
        <v>1653</v>
      </c>
      <c r="G247" s="6" t="s">
        <v>38</v>
      </c>
      <c r="H247" s="6" t="s">
        <v>39</v>
      </c>
      <c r="I247" s="8" t="s">
        <v>661</v>
      </c>
      <c r="J247" s="9">
        <v>1</v>
      </c>
      <c r="K247" s="9">
        <v>432</v>
      </c>
      <c r="L247" s="9">
        <v>2024</v>
      </c>
      <c r="M247" s="8" t="s">
        <v>1654</v>
      </c>
      <c r="N247" s="8" t="s">
        <v>41</v>
      </c>
      <c r="O247" s="8" t="s">
        <v>42</v>
      </c>
      <c r="P247" s="6" t="s">
        <v>56</v>
      </c>
      <c r="Q247" s="8" t="s">
        <v>121</v>
      </c>
      <c r="R247" s="10" t="s">
        <v>1655</v>
      </c>
      <c r="S247" s="11" t="s">
        <v>1656</v>
      </c>
      <c r="T247" s="6"/>
      <c r="U247" s="14" t="str">
        <f>HYPERLINK("https://media.infra-m.ru/2119/2119108/cover/2119108.jpg", "Обложка")</f>
        <v>Обложка</v>
      </c>
      <c r="V247" s="14" t="str">
        <f>HYPERLINK("https://znanium.ru/catalog/product/2119108", "Ознакомиться")</f>
        <v>Ознакомиться</v>
      </c>
      <c r="W247" s="8" t="s">
        <v>306</v>
      </c>
      <c r="X247" s="6"/>
      <c r="Y247" s="6"/>
      <c r="Z247" s="6"/>
      <c r="AA247" s="6" t="s">
        <v>220</v>
      </c>
      <c r="AB247" s="8"/>
    </row>
    <row r="248" spans="1:28" s="4" customFormat="1" ht="51.95" customHeight="1" x14ac:dyDescent="0.2">
      <c r="A248" s="5">
        <v>0</v>
      </c>
      <c r="B248" s="6" t="s">
        <v>1657</v>
      </c>
      <c r="C248" s="13">
        <v>810</v>
      </c>
      <c r="D248" s="8" t="s">
        <v>1658</v>
      </c>
      <c r="E248" s="8" t="s">
        <v>1659</v>
      </c>
      <c r="F248" s="8" t="s">
        <v>1660</v>
      </c>
      <c r="G248" s="6" t="s">
        <v>64</v>
      </c>
      <c r="H248" s="6" t="s">
        <v>39</v>
      </c>
      <c r="I248" s="8" t="s">
        <v>54</v>
      </c>
      <c r="J248" s="9">
        <v>1</v>
      </c>
      <c r="K248" s="9">
        <v>144</v>
      </c>
      <c r="L248" s="9">
        <v>2026</v>
      </c>
      <c r="M248" s="8" t="s">
        <v>1661</v>
      </c>
      <c r="N248" s="8" t="s">
        <v>41</v>
      </c>
      <c r="O248" s="8" t="s">
        <v>42</v>
      </c>
      <c r="P248" s="6" t="s">
        <v>56</v>
      </c>
      <c r="Q248" s="8" t="s">
        <v>44</v>
      </c>
      <c r="R248" s="10" t="s">
        <v>1662</v>
      </c>
      <c r="S248" s="11" t="s">
        <v>1663</v>
      </c>
      <c r="T248" s="6"/>
      <c r="U248" s="14" t="str">
        <f>HYPERLINK("https://media.infra-m.ru/2213/2213681/cover/2213681.jpg", "Обложка")</f>
        <v>Обложка</v>
      </c>
      <c r="V248" s="14" t="str">
        <f>HYPERLINK("https://znanium.ru/catalog/product/2213681", "Ознакомиться")</f>
        <v>Ознакомиться</v>
      </c>
      <c r="W248" s="8" t="s">
        <v>152</v>
      </c>
      <c r="X248" s="6"/>
      <c r="Y248" s="6"/>
      <c r="Z248" s="6"/>
      <c r="AA248" s="6" t="s">
        <v>71</v>
      </c>
      <c r="AB248" s="8"/>
    </row>
    <row r="249" spans="1:28" s="4" customFormat="1" ht="51.95" customHeight="1" x14ac:dyDescent="0.2">
      <c r="A249" s="5">
        <v>0</v>
      </c>
      <c r="B249" s="6" t="s">
        <v>1664</v>
      </c>
      <c r="C249" s="7">
        <v>1584</v>
      </c>
      <c r="D249" s="8" t="s">
        <v>1665</v>
      </c>
      <c r="E249" s="8" t="s">
        <v>1666</v>
      </c>
      <c r="F249" s="8" t="s">
        <v>1667</v>
      </c>
      <c r="G249" s="6" t="s">
        <v>38</v>
      </c>
      <c r="H249" s="6" t="s">
        <v>267</v>
      </c>
      <c r="I249" s="8" t="s">
        <v>1668</v>
      </c>
      <c r="J249" s="9">
        <v>1</v>
      </c>
      <c r="K249" s="9">
        <v>304</v>
      </c>
      <c r="L249" s="9">
        <v>2025</v>
      </c>
      <c r="M249" s="8" t="s">
        <v>1669</v>
      </c>
      <c r="N249" s="8" t="s">
        <v>41</v>
      </c>
      <c r="O249" s="8" t="s">
        <v>488</v>
      </c>
      <c r="P249" s="6" t="s">
        <v>131</v>
      </c>
      <c r="Q249" s="8" t="s">
        <v>121</v>
      </c>
      <c r="R249" s="10" t="s">
        <v>1273</v>
      </c>
      <c r="S249" s="11" t="s">
        <v>1670</v>
      </c>
      <c r="T249" s="6"/>
      <c r="U249" s="14" t="str">
        <f>HYPERLINK("https://media.infra-m.ru/2195/2195015/cover/2195015.jpg", "Обложка")</f>
        <v>Обложка</v>
      </c>
      <c r="V249" s="14" t="str">
        <f>HYPERLINK("https://znanium.ru/catalog/product/914079", "Ознакомиться")</f>
        <v>Ознакомиться</v>
      </c>
      <c r="W249" s="8" t="s">
        <v>1267</v>
      </c>
      <c r="X249" s="6"/>
      <c r="Y249" s="6"/>
      <c r="Z249" s="6"/>
      <c r="AA249" s="6" t="s">
        <v>1671</v>
      </c>
      <c r="AB249" s="8"/>
    </row>
    <row r="250" spans="1:28" s="4" customFormat="1" ht="51.95" customHeight="1" x14ac:dyDescent="0.2">
      <c r="A250" s="5">
        <v>0</v>
      </c>
      <c r="B250" s="6" t="s">
        <v>1672</v>
      </c>
      <c r="C250" s="7">
        <v>1284.9000000000001</v>
      </c>
      <c r="D250" s="8" t="s">
        <v>1673</v>
      </c>
      <c r="E250" s="8" t="s">
        <v>1674</v>
      </c>
      <c r="F250" s="8" t="s">
        <v>1271</v>
      </c>
      <c r="G250" s="6" t="s">
        <v>38</v>
      </c>
      <c r="H250" s="6" t="s">
        <v>39</v>
      </c>
      <c r="I250" s="8" t="s">
        <v>661</v>
      </c>
      <c r="J250" s="9">
        <v>1</v>
      </c>
      <c r="K250" s="9">
        <v>286</v>
      </c>
      <c r="L250" s="9">
        <v>2023</v>
      </c>
      <c r="M250" s="8" t="s">
        <v>1675</v>
      </c>
      <c r="N250" s="8" t="s">
        <v>41</v>
      </c>
      <c r="O250" s="8" t="s">
        <v>488</v>
      </c>
      <c r="P250" s="6" t="s">
        <v>56</v>
      </c>
      <c r="Q250" s="8" t="s">
        <v>121</v>
      </c>
      <c r="R250" s="10" t="s">
        <v>1266</v>
      </c>
      <c r="S250" s="11" t="s">
        <v>1274</v>
      </c>
      <c r="T250" s="6"/>
      <c r="U250" s="14" t="str">
        <f>HYPERLINK("https://media.infra-m.ru/1981/1981707/cover/1981707.jpg", "Обложка")</f>
        <v>Обложка</v>
      </c>
      <c r="V250" s="14" t="str">
        <f>HYPERLINK("https://znanium.ru/catalog/product/374641", "Ознакомиться")</f>
        <v>Ознакомиться</v>
      </c>
      <c r="W250" s="8" t="s">
        <v>1275</v>
      </c>
      <c r="X250" s="6"/>
      <c r="Y250" s="6"/>
      <c r="Z250" s="6"/>
      <c r="AA250" s="6" t="s">
        <v>71</v>
      </c>
      <c r="AB250" s="8"/>
    </row>
    <row r="251" spans="1:28" s="4" customFormat="1" ht="42" customHeight="1" x14ac:dyDescent="0.2">
      <c r="A251" s="5">
        <v>0</v>
      </c>
      <c r="B251" s="6" t="s">
        <v>1676</v>
      </c>
      <c r="C251" s="7">
        <v>1024</v>
      </c>
      <c r="D251" s="8" t="s">
        <v>1677</v>
      </c>
      <c r="E251" s="8" t="s">
        <v>1678</v>
      </c>
      <c r="F251" s="8" t="s">
        <v>1679</v>
      </c>
      <c r="G251" s="6" t="s">
        <v>64</v>
      </c>
      <c r="H251" s="6" t="s">
        <v>39</v>
      </c>
      <c r="I251" s="8" t="s">
        <v>103</v>
      </c>
      <c r="J251" s="9">
        <v>1</v>
      </c>
      <c r="K251" s="9">
        <v>223</v>
      </c>
      <c r="L251" s="9">
        <v>2024</v>
      </c>
      <c r="M251" s="8" t="s">
        <v>1680</v>
      </c>
      <c r="N251" s="8" t="s">
        <v>41</v>
      </c>
      <c r="O251" s="8" t="s">
        <v>42</v>
      </c>
      <c r="P251" s="6" t="s">
        <v>105</v>
      </c>
      <c r="Q251" s="8" t="s">
        <v>106</v>
      </c>
      <c r="R251" s="10" t="s">
        <v>1681</v>
      </c>
      <c r="S251" s="11"/>
      <c r="T251" s="6"/>
      <c r="U251" s="14" t="str">
        <f>HYPERLINK("https://media.infra-m.ru/2091/2091935/cover/2091935.jpg", "Обложка")</f>
        <v>Обложка</v>
      </c>
      <c r="V251" s="14" t="str">
        <f>HYPERLINK("https://znanium.ru/catalog/product/396286", "Ознакомиться")</f>
        <v>Ознакомиться</v>
      </c>
      <c r="W251" s="8" t="s">
        <v>454</v>
      </c>
      <c r="X251" s="6"/>
      <c r="Y251" s="6"/>
      <c r="Z251" s="6"/>
      <c r="AA251" s="6" t="s">
        <v>125</v>
      </c>
      <c r="AB251" s="8"/>
    </row>
    <row r="252" spans="1:28" s="4" customFormat="1" ht="51.95" customHeight="1" x14ac:dyDescent="0.2">
      <c r="A252" s="5">
        <v>0</v>
      </c>
      <c r="B252" s="6" t="s">
        <v>1682</v>
      </c>
      <c r="C252" s="7">
        <v>1074.9000000000001</v>
      </c>
      <c r="D252" s="8" t="s">
        <v>1683</v>
      </c>
      <c r="E252" s="8" t="s">
        <v>1684</v>
      </c>
      <c r="F252" s="8" t="s">
        <v>1679</v>
      </c>
      <c r="G252" s="6" t="s">
        <v>64</v>
      </c>
      <c r="H252" s="6" t="s">
        <v>39</v>
      </c>
      <c r="I252" s="8" t="s">
        <v>103</v>
      </c>
      <c r="J252" s="9">
        <v>1</v>
      </c>
      <c r="K252" s="9">
        <v>238</v>
      </c>
      <c r="L252" s="9">
        <v>2023</v>
      </c>
      <c r="M252" s="8" t="s">
        <v>1685</v>
      </c>
      <c r="N252" s="8" t="s">
        <v>41</v>
      </c>
      <c r="O252" s="8" t="s">
        <v>42</v>
      </c>
      <c r="P252" s="6" t="s">
        <v>105</v>
      </c>
      <c r="Q252" s="8" t="s">
        <v>106</v>
      </c>
      <c r="R252" s="10" t="s">
        <v>1686</v>
      </c>
      <c r="S252" s="11"/>
      <c r="T252" s="6"/>
      <c r="U252" s="14" t="str">
        <f>HYPERLINK("https://media.infra-m.ru/1911/1911152/cover/1911152.jpg", "Обложка")</f>
        <v>Обложка</v>
      </c>
      <c r="V252" s="14" t="str">
        <f>HYPERLINK("https://znanium.ru/catalog/product/1254831", "Ознакомиться")</f>
        <v>Ознакомиться</v>
      </c>
      <c r="W252" s="8" t="s">
        <v>454</v>
      </c>
      <c r="X252" s="6"/>
      <c r="Y252" s="6"/>
      <c r="Z252" s="6"/>
      <c r="AA252" s="6" t="s">
        <v>125</v>
      </c>
      <c r="AB252" s="8"/>
    </row>
    <row r="253" spans="1:28" s="4" customFormat="1" ht="51.95" customHeight="1" x14ac:dyDescent="0.2">
      <c r="A253" s="5">
        <v>0</v>
      </c>
      <c r="B253" s="6" t="s">
        <v>1687</v>
      </c>
      <c r="C253" s="7">
        <v>1120</v>
      </c>
      <c r="D253" s="8" t="s">
        <v>1688</v>
      </c>
      <c r="E253" s="8" t="s">
        <v>1689</v>
      </c>
      <c r="F253" s="8" t="s">
        <v>1679</v>
      </c>
      <c r="G253" s="6" t="s">
        <v>64</v>
      </c>
      <c r="H253" s="6" t="s">
        <v>39</v>
      </c>
      <c r="I253" s="8" t="s">
        <v>103</v>
      </c>
      <c r="J253" s="9">
        <v>1</v>
      </c>
      <c r="K253" s="9">
        <v>204</v>
      </c>
      <c r="L253" s="9">
        <v>2026</v>
      </c>
      <c r="M253" s="8" t="s">
        <v>1690</v>
      </c>
      <c r="N253" s="8" t="s">
        <v>41</v>
      </c>
      <c r="O253" s="8" t="s">
        <v>42</v>
      </c>
      <c r="P253" s="6" t="s">
        <v>105</v>
      </c>
      <c r="Q253" s="8" t="s">
        <v>106</v>
      </c>
      <c r="R253" s="10" t="s">
        <v>1691</v>
      </c>
      <c r="S253" s="11"/>
      <c r="T253" s="6" t="s">
        <v>453</v>
      </c>
      <c r="U253" s="14" t="str">
        <f>HYPERLINK("https://media.infra-m.ru/2225/2225441/cover/2225441.jpg", "Обложка")</f>
        <v>Обложка</v>
      </c>
      <c r="V253" s="14" t="str">
        <f>HYPERLINK("https://znanium.ru/catalog/product/2225441", "Ознакомиться")</f>
        <v>Ознакомиться</v>
      </c>
      <c r="W253" s="8" t="s">
        <v>454</v>
      </c>
      <c r="X253" s="6"/>
      <c r="Y253" s="6"/>
      <c r="Z253" s="6"/>
      <c r="AA253" s="6" t="s">
        <v>272</v>
      </c>
      <c r="AB253" s="8"/>
    </row>
    <row r="254" spans="1:28" s="4" customFormat="1" ht="51.95" customHeight="1" x14ac:dyDescent="0.2">
      <c r="A254" s="5">
        <v>0</v>
      </c>
      <c r="B254" s="6" t="s">
        <v>1692</v>
      </c>
      <c r="C254" s="13">
        <v>840</v>
      </c>
      <c r="D254" s="8" t="s">
        <v>1693</v>
      </c>
      <c r="E254" s="8" t="s">
        <v>1694</v>
      </c>
      <c r="F254" s="8" t="s">
        <v>1695</v>
      </c>
      <c r="G254" s="6" t="s">
        <v>64</v>
      </c>
      <c r="H254" s="6" t="s">
        <v>39</v>
      </c>
      <c r="I254" s="8" t="s">
        <v>103</v>
      </c>
      <c r="J254" s="9">
        <v>1</v>
      </c>
      <c r="K254" s="9">
        <v>187</v>
      </c>
      <c r="L254" s="9">
        <v>2022</v>
      </c>
      <c r="M254" s="8" t="s">
        <v>1696</v>
      </c>
      <c r="N254" s="8" t="s">
        <v>41</v>
      </c>
      <c r="O254" s="8" t="s">
        <v>42</v>
      </c>
      <c r="P254" s="6" t="s">
        <v>105</v>
      </c>
      <c r="Q254" s="8" t="s">
        <v>106</v>
      </c>
      <c r="R254" s="10" t="s">
        <v>1697</v>
      </c>
      <c r="S254" s="11"/>
      <c r="T254" s="6"/>
      <c r="U254" s="14" t="str">
        <f>HYPERLINK("https://media.infra-m.ru/1859/1859979/cover/1859979.jpg", "Обложка")</f>
        <v>Обложка</v>
      </c>
      <c r="V254" s="14" t="str">
        <f>HYPERLINK("https://znanium.ru/catalog/product/1859979", "Ознакомиться")</f>
        <v>Ознакомиться</v>
      </c>
      <c r="W254" s="8" t="s">
        <v>175</v>
      </c>
      <c r="X254" s="6"/>
      <c r="Y254" s="6"/>
      <c r="Z254" s="6"/>
      <c r="AA254" s="6" t="s">
        <v>184</v>
      </c>
      <c r="AB254" s="8" t="s">
        <v>1698</v>
      </c>
    </row>
    <row r="255" spans="1:28" s="4" customFormat="1" ht="42" customHeight="1" x14ac:dyDescent="0.2">
      <c r="A255" s="5">
        <v>0</v>
      </c>
      <c r="B255" s="6" t="s">
        <v>1699</v>
      </c>
      <c r="C255" s="13">
        <v>600</v>
      </c>
      <c r="D255" s="8" t="s">
        <v>1700</v>
      </c>
      <c r="E255" s="8" t="s">
        <v>1701</v>
      </c>
      <c r="F255" s="8" t="s">
        <v>1702</v>
      </c>
      <c r="G255" s="6" t="s">
        <v>64</v>
      </c>
      <c r="H255" s="6" t="s">
        <v>39</v>
      </c>
      <c r="I255" s="8" t="s">
        <v>76</v>
      </c>
      <c r="J255" s="9">
        <v>1</v>
      </c>
      <c r="K255" s="9">
        <v>90</v>
      </c>
      <c r="L255" s="9">
        <v>2026</v>
      </c>
      <c r="M255" s="8" t="s">
        <v>1703</v>
      </c>
      <c r="N255" s="8" t="s">
        <v>41</v>
      </c>
      <c r="O255" s="8" t="s">
        <v>42</v>
      </c>
      <c r="P255" s="6" t="s">
        <v>43</v>
      </c>
      <c r="Q255" s="8" t="s">
        <v>44</v>
      </c>
      <c r="R255" s="10" t="s">
        <v>198</v>
      </c>
      <c r="S255" s="11"/>
      <c r="T255" s="6"/>
      <c r="U255" s="14" t="str">
        <f>HYPERLINK("https://media.infra-m.ru/2221/2221300/cover/2221300.jpg", "Обложка")</f>
        <v>Обложка</v>
      </c>
      <c r="V255" s="14" t="str">
        <f>HYPERLINK("https://znanium.ru/catalog/product/2221300", "Ознакомиться")</f>
        <v>Ознакомиться</v>
      </c>
      <c r="W255" s="8" t="s">
        <v>47</v>
      </c>
      <c r="X255" s="6" t="s">
        <v>199</v>
      </c>
      <c r="Y255" s="6"/>
      <c r="Z255" s="6"/>
      <c r="AA255" s="6" t="s">
        <v>200</v>
      </c>
      <c r="AB255" s="8"/>
    </row>
    <row r="256" spans="1:28" s="4" customFormat="1" ht="51.95" customHeight="1" x14ac:dyDescent="0.2">
      <c r="A256" s="5">
        <v>0</v>
      </c>
      <c r="B256" s="6" t="s">
        <v>1704</v>
      </c>
      <c r="C256" s="13">
        <v>450</v>
      </c>
      <c r="D256" s="8" t="s">
        <v>1705</v>
      </c>
      <c r="E256" s="8" t="s">
        <v>1706</v>
      </c>
      <c r="F256" s="8" t="s">
        <v>1707</v>
      </c>
      <c r="G256" s="6" t="s">
        <v>64</v>
      </c>
      <c r="H256" s="6" t="s">
        <v>39</v>
      </c>
      <c r="I256" s="8" t="s">
        <v>54</v>
      </c>
      <c r="J256" s="9">
        <v>1</v>
      </c>
      <c r="K256" s="9">
        <v>64</v>
      </c>
      <c r="L256" s="9">
        <v>2024</v>
      </c>
      <c r="M256" s="8" t="s">
        <v>1708</v>
      </c>
      <c r="N256" s="8" t="s">
        <v>41</v>
      </c>
      <c r="O256" s="8" t="s">
        <v>42</v>
      </c>
      <c r="P256" s="6" t="s">
        <v>56</v>
      </c>
      <c r="Q256" s="8" t="s">
        <v>121</v>
      </c>
      <c r="R256" s="10" t="s">
        <v>541</v>
      </c>
      <c r="S256" s="11" t="s">
        <v>1709</v>
      </c>
      <c r="T256" s="6"/>
      <c r="U256" s="14" t="str">
        <f>HYPERLINK("https://media.infra-m.ru/1160/1160971/cover/1160971.jpg", "Обложка")</f>
        <v>Обложка</v>
      </c>
      <c r="V256" s="14" t="str">
        <f>HYPERLINK("https://znanium.ru/catalog/product/1160971", "Ознакомиться")</f>
        <v>Ознакомиться</v>
      </c>
      <c r="W256" s="8" t="s">
        <v>175</v>
      </c>
      <c r="X256" s="6"/>
      <c r="Y256" s="6"/>
      <c r="Z256" s="6"/>
      <c r="AA256" s="6" t="s">
        <v>135</v>
      </c>
      <c r="AB256" s="8"/>
    </row>
    <row r="257" spans="1:28" s="4" customFormat="1" ht="51.95" customHeight="1" x14ac:dyDescent="0.2">
      <c r="A257" s="5">
        <v>0</v>
      </c>
      <c r="B257" s="6" t="s">
        <v>1710</v>
      </c>
      <c r="C257" s="7">
        <v>2404</v>
      </c>
      <c r="D257" s="8" t="s">
        <v>1711</v>
      </c>
      <c r="E257" s="8" t="s">
        <v>1712</v>
      </c>
      <c r="F257" s="8" t="s">
        <v>1713</v>
      </c>
      <c r="G257" s="6" t="s">
        <v>38</v>
      </c>
      <c r="H257" s="6" t="s">
        <v>350</v>
      </c>
      <c r="I257" s="8" t="s">
        <v>690</v>
      </c>
      <c r="J257" s="9">
        <v>1</v>
      </c>
      <c r="K257" s="9">
        <v>576</v>
      </c>
      <c r="L257" s="9">
        <v>2026</v>
      </c>
      <c r="M257" s="8" t="s">
        <v>1714</v>
      </c>
      <c r="N257" s="8" t="s">
        <v>41</v>
      </c>
      <c r="O257" s="8" t="s">
        <v>42</v>
      </c>
      <c r="P257" s="6" t="s">
        <v>56</v>
      </c>
      <c r="Q257" s="8" t="s">
        <v>141</v>
      </c>
      <c r="R257" s="10" t="s">
        <v>1715</v>
      </c>
      <c r="S257" s="11" t="s">
        <v>1716</v>
      </c>
      <c r="T257" s="6"/>
      <c r="U257" s="14" t="str">
        <f>HYPERLINK("https://media.infra-m.ru/2220/2220011/cover/2220011.jpg", "Обложка")</f>
        <v>Обложка</v>
      </c>
      <c r="V257" s="12"/>
      <c r="W257" s="8" t="s">
        <v>1717</v>
      </c>
      <c r="X257" s="6"/>
      <c r="Y257" s="6"/>
      <c r="Z257" s="6"/>
      <c r="AA257" s="6" t="s">
        <v>125</v>
      </c>
      <c r="AB257" s="8"/>
    </row>
    <row r="258" spans="1:28" s="4" customFormat="1" ht="51.95" customHeight="1" x14ac:dyDescent="0.2">
      <c r="A258" s="5">
        <v>0</v>
      </c>
      <c r="B258" s="6" t="s">
        <v>1718</v>
      </c>
      <c r="C258" s="7">
        <v>2874</v>
      </c>
      <c r="D258" s="8" t="s">
        <v>1719</v>
      </c>
      <c r="E258" s="8" t="s">
        <v>1720</v>
      </c>
      <c r="F258" s="8" t="s">
        <v>1721</v>
      </c>
      <c r="G258" s="6" t="s">
        <v>38</v>
      </c>
      <c r="H258" s="6" t="s">
        <v>39</v>
      </c>
      <c r="I258" s="8" t="s">
        <v>139</v>
      </c>
      <c r="J258" s="9">
        <v>1</v>
      </c>
      <c r="K258" s="9">
        <v>552</v>
      </c>
      <c r="L258" s="9">
        <v>2025</v>
      </c>
      <c r="M258" s="8" t="s">
        <v>1722</v>
      </c>
      <c r="N258" s="8" t="s">
        <v>41</v>
      </c>
      <c r="O258" s="8" t="s">
        <v>42</v>
      </c>
      <c r="P258" s="6" t="s">
        <v>131</v>
      </c>
      <c r="Q258" s="8" t="s">
        <v>141</v>
      </c>
      <c r="R258" s="10" t="s">
        <v>1008</v>
      </c>
      <c r="S258" s="11" t="s">
        <v>1723</v>
      </c>
      <c r="T258" s="6"/>
      <c r="U258" s="14" t="str">
        <f>HYPERLINK("https://media.infra-m.ru/2196/2196571/cover/2196571.jpg", "Обложка")</f>
        <v>Обложка</v>
      </c>
      <c r="V258" s="14" t="str">
        <f>HYPERLINK("https://znanium.ru/catalog/product/2170975", "Ознакомиться")</f>
        <v>Ознакомиться</v>
      </c>
      <c r="W258" s="8" t="s">
        <v>1717</v>
      </c>
      <c r="X258" s="6"/>
      <c r="Y258" s="6" t="s">
        <v>30</v>
      </c>
      <c r="Z258" s="6"/>
      <c r="AA258" s="6" t="s">
        <v>405</v>
      </c>
      <c r="AB258" s="8"/>
    </row>
    <row r="259" spans="1:28" s="4" customFormat="1" ht="42" customHeight="1" x14ac:dyDescent="0.2">
      <c r="A259" s="5">
        <v>0</v>
      </c>
      <c r="B259" s="6" t="s">
        <v>1724</v>
      </c>
      <c r="C259" s="7">
        <v>2080</v>
      </c>
      <c r="D259" s="8" t="s">
        <v>1725</v>
      </c>
      <c r="E259" s="8" t="s">
        <v>1726</v>
      </c>
      <c r="F259" s="8" t="s">
        <v>1727</v>
      </c>
      <c r="G259" s="6" t="s">
        <v>53</v>
      </c>
      <c r="H259" s="6" t="s">
        <v>39</v>
      </c>
      <c r="I259" s="8" t="s">
        <v>283</v>
      </c>
      <c r="J259" s="9">
        <v>1</v>
      </c>
      <c r="K259" s="9">
        <v>1111</v>
      </c>
      <c r="L259" s="9">
        <v>2022</v>
      </c>
      <c r="M259" s="8" t="s">
        <v>1728</v>
      </c>
      <c r="N259" s="8" t="s">
        <v>41</v>
      </c>
      <c r="O259" s="8" t="s">
        <v>42</v>
      </c>
      <c r="P259" s="6" t="s">
        <v>1230</v>
      </c>
      <c r="Q259" s="8" t="s">
        <v>87</v>
      </c>
      <c r="R259" s="10" t="s">
        <v>396</v>
      </c>
      <c r="S259" s="11"/>
      <c r="T259" s="6"/>
      <c r="U259" s="14" t="str">
        <f>HYPERLINK("https://media.infra-m.ru/1841/1841412/cover/1841412.jpg", "Обложка")</f>
        <v>Обложка</v>
      </c>
      <c r="V259" s="14" t="str">
        <f>HYPERLINK("https://znanium.ru/catalog/product/1841412", "Ознакомиться")</f>
        <v>Ознакомиться</v>
      </c>
      <c r="W259" s="8" t="s">
        <v>175</v>
      </c>
      <c r="X259" s="6"/>
      <c r="Y259" s="6"/>
      <c r="Z259" s="6"/>
      <c r="AA259" s="6" t="s">
        <v>115</v>
      </c>
      <c r="AB259" s="8"/>
    </row>
    <row r="260" spans="1:28" s="4" customFormat="1" ht="51.95" customHeight="1" x14ac:dyDescent="0.2">
      <c r="A260" s="5">
        <v>0</v>
      </c>
      <c r="B260" s="6" t="s">
        <v>1729</v>
      </c>
      <c r="C260" s="7">
        <v>1700</v>
      </c>
      <c r="D260" s="8" t="s">
        <v>1730</v>
      </c>
      <c r="E260" s="8" t="s">
        <v>1731</v>
      </c>
      <c r="F260" s="8" t="s">
        <v>1732</v>
      </c>
      <c r="G260" s="6" t="s">
        <v>38</v>
      </c>
      <c r="H260" s="6" t="s">
        <v>39</v>
      </c>
      <c r="I260" s="8" t="s">
        <v>103</v>
      </c>
      <c r="J260" s="9">
        <v>1</v>
      </c>
      <c r="K260" s="9">
        <v>341</v>
      </c>
      <c r="L260" s="9">
        <v>2024</v>
      </c>
      <c r="M260" s="8" t="s">
        <v>1733</v>
      </c>
      <c r="N260" s="8" t="s">
        <v>41</v>
      </c>
      <c r="O260" s="8" t="s">
        <v>42</v>
      </c>
      <c r="P260" s="6" t="s">
        <v>105</v>
      </c>
      <c r="Q260" s="8" t="s">
        <v>106</v>
      </c>
      <c r="R260" s="10" t="s">
        <v>1734</v>
      </c>
      <c r="S260" s="11"/>
      <c r="T260" s="6"/>
      <c r="U260" s="14" t="str">
        <f>HYPERLINK("https://media.infra-m.ru/2132/2132122/cover/2132122.jpg", "Обложка")</f>
        <v>Обложка</v>
      </c>
      <c r="V260" s="14" t="str">
        <f>HYPERLINK("https://znanium.ru/catalog/product/2132122", "Ознакомиться")</f>
        <v>Ознакомиться</v>
      </c>
      <c r="W260" s="8" t="s">
        <v>940</v>
      </c>
      <c r="X260" s="6"/>
      <c r="Y260" s="6"/>
      <c r="Z260" s="6"/>
      <c r="AA260" s="6" t="s">
        <v>48</v>
      </c>
      <c r="AB260" s="8" t="s">
        <v>1735</v>
      </c>
    </row>
    <row r="261" spans="1:28" s="4" customFormat="1" ht="51.95" customHeight="1" x14ac:dyDescent="0.2">
      <c r="A261" s="5">
        <v>0</v>
      </c>
      <c r="B261" s="6" t="s">
        <v>1736</v>
      </c>
      <c r="C261" s="13">
        <v>667</v>
      </c>
      <c r="D261" s="8" t="s">
        <v>1737</v>
      </c>
      <c r="E261" s="8" t="s">
        <v>1738</v>
      </c>
      <c r="F261" s="8" t="s">
        <v>1739</v>
      </c>
      <c r="G261" s="6" t="s">
        <v>64</v>
      </c>
      <c r="H261" s="6" t="s">
        <v>350</v>
      </c>
      <c r="I261" s="8" t="s">
        <v>54</v>
      </c>
      <c r="J261" s="9">
        <v>1</v>
      </c>
      <c r="K261" s="9">
        <v>96</v>
      </c>
      <c r="L261" s="9">
        <v>2026</v>
      </c>
      <c r="M261" s="8" t="s">
        <v>1740</v>
      </c>
      <c r="N261" s="8" t="s">
        <v>41</v>
      </c>
      <c r="O261" s="8" t="s">
        <v>42</v>
      </c>
      <c r="P261" s="6" t="s">
        <v>56</v>
      </c>
      <c r="Q261" s="8" t="s">
        <v>87</v>
      </c>
      <c r="R261" s="10" t="s">
        <v>1066</v>
      </c>
      <c r="S261" s="11" t="s">
        <v>1741</v>
      </c>
      <c r="T261" s="6"/>
      <c r="U261" s="14" t="str">
        <f>HYPERLINK("https://media.infra-m.ru/2216/2216615/cover/2216615.jpg", "Обложка")</f>
        <v>Обложка</v>
      </c>
      <c r="V261" s="14" t="str">
        <f>HYPERLINK("https://znanium.ru/catalog/product/1861347", "Ознакомиться")</f>
        <v>Ознакомиться</v>
      </c>
      <c r="W261" s="8" t="s">
        <v>175</v>
      </c>
      <c r="X261" s="6"/>
      <c r="Y261" s="6"/>
      <c r="Z261" s="6"/>
      <c r="AA261" s="6" t="s">
        <v>272</v>
      </c>
      <c r="AB261" s="8"/>
    </row>
    <row r="262" spans="1:28" s="4" customFormat="1" ht="42" customHeight="1" x14ac:dyDescent="0.2">
      <c r="A262" s="5">
        <v>0</v>
      </c>
      <c r="B262" s="6" t="s">
        <v>1742</v>
      </c>
      <c r="C262" s="13">
        <v>390</v>
      </c>
      <c r="D262" s="8" t="s">
        <v>1743</v>
      </c>
      <c r="E262" s="8" t="s">
        <v>1744</v>
      </c>
      <c r="F262" s="8" t="s">
        <v>1745</v>
      </c>
      <c r="G262" s="6" t="s">
        <v>64</v>
      </c>
      <c r="H262" s="6" t="s">
        <v>39</v>
      </c>
      <c r="I262" s="8" t="s">
        <v>54</v>
      </c>
      <c r="J262" s="9">
        <v>1</v>
      </c>
      <c r="K262" s="9">
        <v>83</v>
      </c>
      <c r="L262" s="9">
        <v>2024</v>
      </c>
      <c r="M262" s="8" t="s">
        <v>1746</v>
      </c>
      <c r="N262" s="8" t="s">
        <v>41</v>
      </c>
      <c r="O262" s="8" t="s">
        <v>42</v>
      </c>
      <c r="P262" s="6" t="s">
        <v>56</v>
      </c>
      <c r="Q262" s="8" t="s">
        <v>121</v>
      </c>
      <c r="R262" s="10" t="s">
        <v>97</v>
      </c>
      <c r="S262" s="11"/>
      <c r="T262" s="6"/>
      <c r="U262" s="14" t="str">
        <f>HYPERLINK("https://media.infra-m.ru/2099/2099054/cover/2099054.jpg", "Обложка")</f>
        <v>Обложка</v>
      </c>
      <c r="V262" s="14" t="str">
        <f>HYPERLINK("https://znanium.ru/catalog/product/2099054", "Ознакомиться")</f>
        <v>Ознакомиться</v>
      </c>
      <c r="W262" s="8" t="s">
        <v>570</v>
      </c>
      <c r="X262" s="6"/>
      <c r="Y262" s="6"/>
      <c r="Z262" s="6"/>
      <c r="AA262" s="6" t="s">
        <v>125</v>
      </c>
      <c r="AB262" s="8"/>
    </row>
    <row r="263" spans="1:28" s="4" customFormat="1" ht="42" customHeight="1" x14ac:dyDescent="0.2">
      <c r="A263" s="5">
        <v>0</v>
      </c>
      <c r="B263" s="6" t="s">
        <v>1747</v>
      </c>
      <c r="C263" s="7">
        <v>1120</v>
      </c>
      <c r="D263" s="8" t="s">
        <v>1748</v>
      </c>
      <c r="E263" s="8" t="s">
        <v>1749</v>
      </c>
      <c r="F263" s="8" t="s">
        <v>1750</v>
      </c>
      <c r="G263" s="6" t="s">
        <v>38</v>
      </c>
      <c r="H263" s="6" t="s">
        <v>39</v>
      </c>
      <c r="I263" s="8" t="s">
        <v>76</v>
      </c>
      <c r="J263" s="9">
        <v>1</v>
      </c>
      <c r="K263" s="9">
        <v>190</v>
      </c>
      <c r="L263" s="9">
        <v>2026</v>
      </c>
      <c r="M263" s="8" t="s">
        <v>1751</v>
      </c>
      <c r="N263" s="8" t="s">
        <v>41</v>
      </c>
      <c r="O263" s="8" t="s">
        <v>42</v>
      </c>
      <c r="P263" s="6" t="s">
        <v>43</v>
      </c>
      <c r="Q263" s="8" t="s">
        <v>44</v>
      </c>
      <c r="R263" s="10" t="s">
        <v>583</v>
      </c>
      <c r="S263" s="11"/>
      <c r="T263" s="6"/>
      <c r="U263" s="14" t="str">
        <f>HYPERLINK("https://media.infra-m.ru/2210/2210369/cover/2210369.jpg", "Обложка")</f>
        <v>Обложка</v>
      </c>
      <c r="V263" s="14" t="str">
        <f>HYPERLINK("https://znanium.ru/catalog/product/2210369", "Ознакомиться")</f>
        <v>Ознакомиться</v>
      </c>
      <c r="W263" s="8" t="s">
        <v>47</v>
      </c>
      <c r="X263" s="6" t="s">
        <v>199</v>
      </c>
      <c r="Y263" s="6"/>
      <c r="Z263" s="6"/>
      <c r="AA263" s="6" t="s">
        <v>200</v>
      </c>
      <c r="AB263" s="8"/>
    </row>
    <row r="264" spans="1:28" s="4" customFormat="1" ht="51.95" customHeight="1" x14ac:dyDescent="0.2">
      <c r="A264" s="5">
        <v>0</v>
      </c>
      <c r="B264" s="6" t="s">
        <v>1752</v>
      </c>
      <c r="C264" s="7">
        <v>1130</v>
      </c>
      <c r="D264" s="8" t="s">
        <v>1753</v>
      </c>
      <c r="E264" s="8" t="s">
        <v>1754</v>
      </c>
      <c r="F264" s="8" t="s">
        <v>1755</v>
      </c>
      <c r="G264" s="6" t="s">
        <v>38</v>
      </c>
      <c r="H264" s="6" t="s">
        <v>39</v>
      </c>
      <c r="I264" s="8" t="s">
        <v>54</v>
      </c>
      <c r="J264" s="9">
        <v>1</v>
      </c>
      <c r="K264" s="9">
        <v>189</v>
      </c>
      <c r="L264" s="9">
        <v>2025</v>
      </c>
      <c r="M264" s="8" t="s">
        <v>1756</v>
      </c>
      <c r="N264" s="8" t="s">
        <v>41</v>
      </c>
      <c r="O264" s="8" t="s">
        <v>42</v>
      </c>
      <c r="P264" s="6" t="s">
        <v>56</v>
      </c>
      <c r="Q264" s="8" t="s">
        <v>87</v>
      </c>
      <c r="R264" s="10" t="s">
        <v>775</v>
      </c>
      <c r="S264" s="11" t="s">
        <v>1757</v>
      </c>
      <c r="T264" s="6"/>
      <c r="U264" s="14" t="str">
        <f>HYPERLINK("https://media.infra-m.ru/2167/2167462/cover/2167462.jpg", "Обложка")</f>
        <v>Обложка</v>
      </c>
      <c r="V264" s="14" t="str">
        <f>HYPERLINK("https://znanium.ru/catalog/product/2167462", "Ознакомиться")</f>
        <v>Ознакомиться</v>
      </c>
      <c r="W264" s="8" t="s">
        <v>191</v>
      </c>
      <c r="X264" s="6" t="s">
        <v>1758</v>
      </c>
      <c r="Y264" s="6"/>
      <c r="Z264" s="6"/>
      <c r="AA264" s="6" t="s">
        <v>81</v>
      </c>
      <c r="AB264" s="8"/>
    </row>
    <row r="265" spans="1:28" s="4" customFormat="1" ht="51.95" customHeight="1" x14ac:dyDescent="0.2">
      <c r="A265" s="5">
        <v>0</v>
      </c>
      <c r="B265" s="6" t="s">
        <v>1759</v>
      </c>
      <c r="C265" s="13">
        <v>754.9</v>
      </c>
      <c r="D265" s="8" t="s">
        <v>1760</v>
      </c>
      <c r="E265" s="8" t="s">
        <v>1761</v>
      </c>
      <c r="F265" s="8" t="s">
        <v>1762</v>
      </c>
      <c r="G265" s="6" t="s">
        <v>64</v>
      </c>
      <c r="H265" s="6" t="s">
        <v>1189</v>
      </c>
      <c r="I265" s="8"/>
      <c r="J265" s="9">
        <v>1</v>
      </c>
      <c r="K265" s="9">
        <v>320</v>
      </c>
      <c r="L265" s="9">
        <v>2017</v>
      </c>
      <c r="M265" s="8" t="s">
        <v>1763</v>
      </c>
      <c r="N265" s="8" t="s">
        <v>41</v>
      </c>
      <c r="O265" s="8" t="s">
        <v>42</v>
      </c>
      <c r="P265" s="6" t="s">
        <v>1764</v>
      </c>
      <c r="Q265" s="8" t="s">
        <v>106</v>
      </c>
      <c r="R265" s="10" t="s">
        <v>1765</v>
      </c>
      <c r="S265" s="11"/>
      <c r="T265" s="6"/>
      <c r="U265" s="14" t="str">
        <f>HYPERLINK("https://media.infra-m.ru/0770/0770295/cover/770295.jpg", "Обложка")</f>
        <v>Обложка</v>
      </c>
      <c r="V265" s="14" t="str">
        <f>HYPERLINK("https://znanium.ru/catalog/product/1429040", "Ознакомиться")</f>
        <v>Ознакомиться</v>
      </c>
      <c r="W265" s="8" t="s">
        <v>1766</v>
      </c>
      <c r="X265" s="6"/>
      <c r="Y265" s="6"/>
      <c r="Z265" s="6"/>
      <c r="AA265" s="6" t="s">
        <v>125</v>
      </c>
      <c r="AB265" s="8"/>
    </row>
    <row r="266" spans="1:28" s="4" customFormat="1" ht="51.95" customHeight="1" x14ac:dyDescent="0.2">
      <c r="A266" s="5">
        <v>0</v>
      </c>
      <c r="B266" s="6" t="s">
        <v>1767</v>
      </c>
      <c r="C266" s="13">
        <v>960</v>
      </c>
      <c r="D266" s="8" t="s">
        <v>1768</v>
      </c>
      <c r="E266" s="8" t="s">
        <v>1769</v>
      </c>
      <c r="F266" s="8" t="s">
        <v>1770</v>
      </c>
      <c r="G266" s="6" t="s">
        <v>64</v>
      </c>
      <c r="H266" s="6" t="s">
        <v>39</v>
      </c>
      <c r="I266" s="8" t="s">
        <v>1771</v>
      </c>
      <c r="J266" s="9">
        <v>1</v>
      </c>
      <c r="K266" s="9">
        <v>184</v>
      </c>
      <c r="L266" s="9">
        <v>2025</v>
      </c>
      <c r="M266" s="8" t="s">
        <v>1772</v>
      </c>
      <c r="N266" s="8" t="s">
        <v>41</v>
      </c>
      <c r="O266" s="8" t="s">
        <v>42</v>
      </c>
      <c r="P266" s="6" t="s">
        <v>1773</v>
      </c>
      <c r="Q266" s="8" t="s">
        <v>106</v>
      </c>
      <c r="R266" s="10" t="s">
        <v>1774</v>
      </c>
      <c r="S266" s="11"/>
      <c r="T266" s="6"/>
      <c r="U266" s="14" t="str">
        <f>HYPERLINK("https://media.infra-m.ru/2197/2197246/cover/2197246.jpg", "Обложка")</f>
        <v>Обложка</v>
      </c>
      <c r="V266" s="14" t="str">
        <f>HYPERLINK("https://znanium.ru/catalog/product/2197246", "Ознакомиться")</f>
        <v>Ознакомиться</v>
      </c>
      <c r="W266" s="8" t="s">
        <v>926</v>
      </c>
      <c r="X266" s="6"/>
      <c r="Y266" s="6"/>
      <c r="Z266" s="6"/>
      <c r="AA266" s="6" t="s">
        <v>135</v>
      </c>
      <c r="AB266" s="8"/>
    </row>
    <row r="267" spans="1:28" s="4" customFormat="1" ht="51.95" customHeight="1" x14ac:dyDescent="0.2">
      <c r="A267" s="5">
        <v>0</v>
      </c>
      <c r="B267" s="6" t="s">
        <v>1775</v>
      </c>
      <c r="C267" s="7">
        <v>3999</v>
      </c>
      <c r="D267" s="8" t="s">
        <v>1776</v>
      </c>
      <c r="E267" s="8" t="s">
        <v>1777</v>
      </c>
      <c r="F267" s="8" t="s">
        <v>1778</v>
      </c>
      <c r="G267" s="6" t="s">
        <v>38</v>
      </c>
      <c r="H267" s="6" t="s">
        <v>39</v>
      </c>
      <c r="I267" s="8" t="s">
        <v>76</v>
      </c>
      <c r="J267" s="9">
        <v>1</v>
      </c>
      <c r="K267" s="9">
        <v>476</v>
      </c>
      <c r="L267" s="9">
        <v>2026</v>
      </c>
      <c r="M267" s="8" t="s">
        <v>1779</v>
      </c>
      <c r="N267" s="8" t="s">
        <v>41</v>
      </c>
      <c r="O267" s="8" t="s">
        <v>42</v>
      </c>
      <c r="P267" s="6" t="s">
        <v>56</v>
      </c>
      <c r="Q267" s="8" t="s">
        <v>44</v>
      </c>
      <c r="R267" s="10" t="s">
        <v>1780</v>
      </c>
      <c r="S267" s="11" t="s">
        <v>1781</v>
      </c>
      <c r="T267" s="6"/>
      <c r="U267" s="14" t="str">
        <f>HYPERLINK("https://media.infra-m.ru/2222/2222960/cover/2222960.jpg", "Обложка")</f>
        <v>Обложка</v>
      </c>
      <c r="V267" s="14" t="str">
        <f>HYPERLINK("https://znanium.ru/catalog/product/2151088", "Ознакомиться")</f>
        <v>Ознакомиться</v>
      </c>
      <c r="W267" s="8" t="s">
        <v>47</v>
      </c>
      <c r="X267" s="6"/>
      <c r="Y267" s="6"/>
      <c r="Z267" s="6"/>
      <c r="AA267" s="6" t="s">
        <v>48</v>
      </c>
      <c r="AB267" s="8"/>
    </row>
    <row r="268" spans="1:28" s="4" customFormat="1" ht="42" customHeight="1" x14ac:dyDescent="0.2">
      <c r="A268" s="5">
        <v>0</v>
      </c>
      <c r="B268" s="6" t="s">
        <v>1782</v>
      </c>
      <c r="C268" s="13">
        <v>650</v>
      </c>
      <c r="D268" s="8" t="s">
        <v>1783</v>
      </c>
      <c r="E268" s="8" t="s">
        <v>1784</v>
      </c>
      <c r="F268" s="8" t="s">
        <v>394</v>
      </c>
      <c r="G268" s="6" t="s">
        <v>53</v>
      </c>
      <c r="H268" s="6" t="s">
        <v>39</v>
      </c>
      <c r="I268" s="8" t="s">
        <v>283</v>
      </c>
      <c r="J268" s="9">
        <v>1</v>
      </c>
      <c r="K268" s="9">
        <v>135</v>
      </c>
      <c r="L268" s="9">
        <v>2022</v>
      </c>
      <c r="M268" s="8" t="s">
        <v>1785</v>
      </c>
      <c r="N268" s="8" t="s">
        <v>41</v>
      </c>
      <c r="O268" s="8" t="s">
        <v>42</v>
      </c>
      <c r="P268" s="6" t="s">
        <v>56</v>
      </c>
      <c r="Q268" s="8" t="s">
        <v>87</v>
      </c>
      <c r="R268" s="10" t="s">
        <v>775</v>
      </c>
      <c r="S268" s="11"/>
      <c r="T268" s="6"/>
      <c r="U268" s="14" t="str">
        <f>HYPERLINK("https://media.infra-m.ru/1743/1743895/cover/1743895.jpg", "Обложка")</f>
        <v>Обложка</v>
      </c>
      <c r="V268" s="14" t="str">
        <f>HYPERLINK("https://znanium.ru/catalog/product/1743895", "Ознакомиться")</f>
        <v>Ознакомиться</v>
      </c>
      <c r="W268" s="8" t="s">
        <v>175</v>
      </c>
      <c r="X268" s="6"/>
      <c r="Y268" s="6"/>
      <c r="Z268" s="6"/>
      <c r="AA268" s="6" t="s">
        <v>405</v>
      </c>
      <c r="AB268" s="8"/>
    </row>
    <row r="269" spans="1:28" s="4" customFormat="1" ht="42" customHeight="1" x14ac:dyDescent="0.2">
      <c r="A269" s="5">
        <v>0</v>
      </c>
      <c r="B269" s="6" t="s">
        <v>1786</v>
      </c>
      <c r="C269" s="7">
        <v>1964</v>
      </c>
      <c r="D269" s="8" t="s">
        <v>1787</v>
      </c>
      <c r="E269" s="8" t="s">
        <v>1788</v>
      </c>
      <c r="F269" s="8" t="s">
        <v>1789</v>
      </c>
      <c r="G269" s="6" t="s">
        <v>53</v>
      </c>
      <c r="H269" s="6" t="s">
        <v>39</v>
      </c>
      <c r="I269" s="8" t="s">
        <v>103</v>
      </c>
      <c r="J269" s="9">
        <v>1</v>
      </c>
      <c r="K269" s="9">
        <v>378</v>
      </c>
      <c r="L269" s="9">
        <v>2025</v>
      </c>
      <c r="M269" s="8" t="s">
        <v>1790</v>
      </c>
      <c r="N269" s="8" t="s">
        <v>41</v>
      </c>
      <c r="O269" s="8" t="s">
        <v>42</v>
      </c>
      <c r="P269" s="6" t="s">
        <v>105</v>
      </c>
      <c r="Q269" s="8" t="s">
        <v>106</v>
      </c>
      <c r="R269" s="10" t="s">
        <v>97</v>
      </c>
      <c r="S269" s="11"/>
      <c r="T269" s="6"/>
      <c r="U269" s="14" t="str">
        <f>HYPERLINK("https://media.infra-m.ru/2201/2201911/cover/2201911.jpg", "Обложка")</f>
        <v>Обложка</v>
      </c>
      <c r="V269" s="14" t="str">
        <f>HYPERLINK("https://znanium.ru/catalog/product/1118474", "Ознакомиться")</f>
        <v>Ознакомиться</v>
      </c>
      <c r="W269" s="8" t="s">
        <v>454</v>
      </c>
      <c r="X269" s="6"/>
      <c r="Y269" s="6"/>
      <c r="Z269" s="6"/>
      <c r="AA269" s="6" t="s">
        <v>330</v>
      </c>
      <c r="AB269" s="8"/>
    </row>
    <row r="270" spans="1:28" s="4" customFormat="1" ht="51.95" customHeight="1" x14ac:dyDescent="0.2">
      <c r="A270" s="5">
        <v>0</v>
      </c>
      <c r="B270" s="6" t="s">
        <v>1791</v>
      </c>
      <c r="C270" s="13">
        <v>680</v>
      </c>
      <c r="D270" s="8" t="s">
        <v>1792</v>
      </c>
      <c r="E270" s="8" t="s">
        <v>1793</v>
      </c>
      <c r="F270" s="8" t="s">
        <v>1794</v>
      </c>
      <c r="G270" s="6" t="s">
        <v>64</v>
      </c>
      <c r="H270" s="6" t="s">
        <v>350</v>
      </c>
      <c r="I270" s="8"/>
      <c r="J270" s="9">
        <v>1</v>
      </c>
      <c r="K270" s="9">
        <v>104</v>
      </c>
      <c r="L270" s="9">
        <v>2025</v>
      </c>
      <c r="M270" s="8" t="s">
        <v>1795</v>
      </c>
      <c r="N270" s="8" t="s">
        <v>41</v>
      </c>
      <c r="O270" s="8" t="s">
        <v>42</v>
      </c>
      <c r="P270" s="6" t="s">
        <v>1764</v>
      </c>
      <c r="Q270" s="8" t="s">
        <v>106</v>
      </c>
      <c r="R270" s="10" t="s">
        <v>1796</v>
      </c>
      <c r="S270" s="11"/>
      <c r="T270" s="6"/>
      <c r="U270" s="14" t="str">
        <f>HYPERLINK("https://media.infra-m.ru/2161/2161659/cover/2161659.jpg", "Обложка")</f>
        <v>Обложка</v>
      </c>
      <c r="V270" s="14" t="str">
        <f>HYPERLINK("https://znanium.ru/catalog/product/2161659", "Ознакомиться")</f>
        <v>Ознакомиться</v>
      </c>
      <c r="W270" s="8" t="s">
        <v>1396</v>
      </c>
      <c r="X270" s="6"/>
      <c r="Y270" s="6"/>
      <c r="Z270" s="6"/>
      <c r="AA270" s="6" t="s">
        <v>272</v>
      </c>
      <c r="AB270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Москалева Елена Павловна</dc:creator>
  <cp:lastModifiedBy>Москалева Елена Павловна</cp:lastModifiedBy>
  <dcterms:created xsi:type="dcterms:W3CDTF">2025-11-13T05:07:43Z</dcterms:created>
  <dcterms:modified xsi:type="dcterms:W3CDTF">2025-11-13T05:07:44Z</dcterms:modified>
</cp:coreProperties>
</file>